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2021" sheetId="1" r:id="rId1"/>
    <sheet name="2022" sheetId="2" r:id="rId2"/>
    <sheet name="2023" sheetId="3" r:id="rId3"/>
    <sheet name="2024" sheetId="4" r:id="rId4"/>
    <sheet name="2025" sheetId="5" r:id="rId5"/>
    <sheet name="2026" sheetId="6" r:id="rId6"/>
    <sheet name="Ohjeet" sheetId="7" r:id="rId7"/>
    <sheet name="Rehulaskuri" sheetId="8" r:id="rId8"/>
    <sheet name="Esimerkki" sheetId="9" r:id="rId9"/>
  </sheets>
  <definedNames/>
  <calcPr fullCalcOnLoad="1"/>
</workbook>
</file>

<file path=xl/comments1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2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3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4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5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6.xml><?xml version="1.0" encoding="utf-8"?>
<comments xmlns="http://schemas.openxmlformats.org/spreadsheetml/2006/main">
  <authors>
    <author>CatharinaB</author>
  </authors>
  <commentList>
    <comment ref="E7" authorId="0">
      <text>
        <r>
          <rPr>
            <sz val="8"/>
            <rFont val="Tahoma"/>
            <family val="2"/>
          </rPr>
          <t>ketunnahat</t>
        </r>
      </text>
    </comment>
    <comment ref="F7" authorId="0">
      <text>
        <r>
          <rPr>
            <sz val="8"/>
            <rFont val="Tahoma"/>
            <family val="2"/>
          </rPr>
          <t>Minkinnahat</t>
        </r>
      </text>
    </comment>
    <comment ref="E8" authorId="0">
      <text>
        <r>
          <rPr>
            <sz val="8"/>
            <rFont val="Tahoma"/>
            <family val="2"/>
          </rPr>
          <t>ilman alv</t>
        </r>
      </text>
    </comment>
    <comment ref="F8" authorId="0">
      <text>
        <r>
          <rPr>
            <sz val="8"/>
            <rFont val="Tahoma"/>
            <family val="2"/>
          </rPr>
          <t>ilman alv</t>
        </r>
      </text>
    </comment>
    <comment ref="E9" authorId="0">
      <text>
        <r>
          <rPr>
            <sz val="8"/>
            <rFont val="Tahoma"/>
            <family val="2"/>
          </rPr>
          <t>ilman alv</t>
        </r>
      </text>
    </comment>
    <comment ref="E10" authorId="0">
      <text>
        <r>
          <rPr>
            <sz val="8"/>
            <rFont val="Tahoma"/>
            <family val="2"/>
          </rPr>
          <t>Nostettavat lainat</t>
        </r>
      </text>
    </comment>
    <comment ref="E12" authorId="0">
      <text>
        <r>
          <rPr>
            <sz val="8"/>
            <rFont val="Tahoma"/>
            <family val="0"/>
          </rPr>
          <t>Palautettava alv marraskuulta</t>
        </r>
      </text>
    </comment>
    <comment ref="G12" authorId="0">
      <text>
        <r>
          <rPr>
            <sz val="8"/>
            <rFont val="Tahoma"/>
            <family val="2"/>
          </rPr>
          <t>Palautettava vero joulukuulta</t>
        </r>
      </text>
    </comment>
    <comment ref="D18" authorId="0">
      <text>
        <r>
          <rPr>
            <sz val="8"/>
            <rFont val="Tahoma"/>
            <family val="2"/>
          </rPr>
          <t>Arvioitu rehukustannus koko vuodelle. Rehukustannusten laskemiselle oma rehulaskuri</t>
        </r>
      </text>
    </comment>
    <comment ref="E18" authorId="0">
      <text>
        <r>
          <rPr>
            <sz val="8"/>
            <rFont val="Tahoma"/>
            <family val="2"/>
          </rPr>
          <t>Ei sisälly laskelmiin</t>
        </r>
      </text>
    </comment>
    <comment ref="E19" authorId="0">
      <text>
        <r>
          <rPr>
            <sz val="8"/>
            <rFont val="Tahoma"/>
            <family val="2"/>
          </rPr>
          <t>Ilman alv</t>
        </r>
      </text>
    </comment>
    <comment ref="E20" authorId="0">
      <text>
        <r>
          <rPr>
            <sz val="8"/>
            <rFont val="Tahoma"/>
            <family val="2"/>
          </rPr>
          <t>Ilman alv</t>
        </r>
      </text>
    </comment>
    <comment ref="E22" authorId="0">
      <text>
        <r>
          <rPr>
            <sz val="8"/>
            <rFont val="Tahoma"/>
            <family val="2"/>
          </rPr>
          <t>Palkka ulkopuoliselle työvoimalle</t>
        </r>
      </text>
    </comment>
    <comment ref="E23" authorId="0">
      <text>
        <r>
          <rPr>
            <sz val="8"/>
            <rFont val="Tahoma"/>
            <family val="2"/>
          </rPr>
          <t>Esim. TyEL, Yel, muut sos.kulut</t>
        </r>
      </text>
    </comment>
    <comment ref="E25" authorId="0">
      <text>
        <r>
          <rPr>
            <sz val="8"/>
            <rFont val="Tahoma"/>
            <family val="2"/>
          </rPr>
          <t>Ilman alv</t>
        </r>
      </text>
    </comment>
    <comment ref="E26" authorId="0">
      <text>
        <r>
          <rPr>
            <sz val="8"/>
            <rFont val="Tahoma"/>
            <family val="2"/>
          </rPr>
          <t>Koko jäljellä oleva laina tilikauden alussa</t>
        </r>
      </text>
    </comment>
    <comment ref="AC26" authorId="0">
      <text>
        <r>
          <rPr>
            <sz val="8"/>
            <rFont val="Tahoma"/>
            <family val="2"/>
          </rPr>
          <t>Återstående lån 31.12.2010</t>
        </r>
      </text>
    </comment>
    <comment ref="E27" authorId="0">
      <text>
        <r>
          <rPr>
            <sz val="8"/>
            <rFont val="Tahoma"/>
            <family val="2"/>
          </rPr>
          <t>Lainan lyhennys per kk</t>
        </r>
      </text>
    </comment>
    <comment ref="D28" authorId="0">
      <text>
        <r>
          <rPr>
            <sz val="8"/>
            <rFont val="Tahoma"/>
            <family val="2"/>
          </rPr>
          <t>Lainan korko</t>
        </r>
      </text>
    </comment>
    <comment ref="E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E30" authorId="0">
      <text>
        <r>
          <rPr>
            <sz val="8"/>
            <rFont val="Tahoma"/>
            <family val="2"/>
          </rPr>
          <t>Ilman alv</t>
        </r>
      </text>
    </comment>
    <comment ref="E32" authorId="0">
      <text>
        <r>
          <rPr>
            <sz val="8"/>
            <rFont val="Tahoma"/>
            <family val="2"/>
          </rPr>
          <t>Maksettava alv marraskuulta</t>
        </r>
      </text>
    </comment>
    <comment ref="G32" authorId="0">
      <text>
        <r>
          <rPr>
            <sz val="8"/>
            <rFont val="Tahoma"/>
            <family val="2"/>
          </rPr>
          <t>Maksettava alv joulukuulta</t>
        </r>
      </text>
    </comment>
    <comment ref="D41" authorId="0">
      <text>
        <r>
          <rPr>
            <sz val="8"/>
            <rFont val="Tahoma"/>
            <family val="2"/>
          </rPr>
          <t>Pankkisaldo 1.1.2021</t>
        </r>
      </text>
    </comment>
    <comment ref="E41" authorId="0">
      <text>
        <r>
          <rPr>
            <sz val="8"/>
            <rFont val="Tahoma"/>
            <family val="2"/>
          </rPr>
          <t>Loppukassa 31.1.2021</t>
        </r>
      </text>
    </comment>
  </commentList>
</comments>
</file>

<file path=xl/comments9.xml><?xml version="1.0" encoding="utf-8"?>
<comments xmlns="http://schemas.openxmlformats.org/spreadsheetml/2006/main">
  <authors>
    <author>CatharinaB</author>
  </authors>
  <commentList>
    <comment ref="I7" authorId="0">
      <text>
        <r>
          <rPr>
            <sz val="8"/>
            <rFont val="Tahoma"/>
            <family val="2"/>
          </rPr>
          <t>T.ex. Rävskinn</t>
        </r>
      </text>
    </comment>
    <comment ref="J7" authorId="0">
      <text>
        <r>
          <rPr>
            <sz val="8"/>
            <rFont val="Tahoma"/>
            <family val="2"/>
          </rPr>
          <t>T.ex. Minkskinn</t>
        </r>
      </text>
    </comment>
    <comment ref="I8" authorId="0">
      <text>
        <r>
          <rPr>
            <sz val="8"/>
            <rFont val="Tahoma"/>
            <family val="2"/>
          </rPr>
          <t>Utan moms</t>
        </r>
      </text>
    </comment>
    <comment ref="J8" authorId="0">
      <text>
        <r>
          <rPr>
            <sz val="8"/>
            <rFont val="Tahoma"/>
            <family val="2"/>
          </rPr>
          <t>Utan moms</t>
        </r>
      </text>
    </comment>
    <comment ref="I9" authorId="0">
      <text>
        <r>
          <rPr>
            <sz val="8"/>
            <rFont val="Tahoma"/>
            <family val="2"/>
          </rPr>
          <t>Utan moms</t>
        </r>
      </text>
    </comment>
    <comment ref="I10" authorId="0">
      <text>
        <r>
          <rPr>
            <sz val="8"/>
            <rFont val="Tahoma"/>
            <family val="2"/>
          </rPr>
          <t>Eventuella lånelyft i januari</t>
        </r>
      </text>
    </comment>
    <comment ref="I12" authorId="0">
      <text>
        <r>
          <rPr>
            <sz val="8"/>
            <rFont val="Tahoma"/>
            <family val="0"/>
          </rPr>
          <t>Eventuell moms som återbärs från november</t>
        </r>
      </text>
    </comment>
    <comment ref="K12" authorId="0">
      <text>
        <r>
          <rPr>
            <sz val="8"/>
            <rFont val="Tahoma"/>
            <family val="2"/>
          </rPr>
          <t>Eventuell moms som återbärs från december månad</t>
        </r>
      </text>
    </comment>
    <comment ref="H18" authorId="0">
      <text>
        <r>
          <rPr>
            <sz val="8"/>
            <rFont val="Tahoma"/>
            <family val="2"/>
          </rPr>
          <t>Uppskattad foderkostnad för hela året. Går att använda t.ex. fjolårets foderkostnad.</t>
        </r>
      </text>
    </comment>
    <comment ref="I18" authorId="0">
      <text>
        <r>
          <rPr>
            <sz val="8"/>
            <rFont val="Tahoma"/>
            <family val="2"/>
          </rPr>
          <t xml:space="preserve">Tas </t>
        </r>
        <r>
          <rPr>
            <b/>
            <sz val="8"/>
            <rFont val="Tahoma"/>
            <family val="2"/>
          </rPr>
          <t>inte</t>
        </r>
        <r>
          <rPr>
            <sz val="8"/>
            <rFont val="Tahoma"/>
            <family val="2"/>
          </rPr>
          <t xml:space="preserve"> med i beräkningarna.</t>
        </r>
      </text>
    </comment>
    <comment ref="I19" authorId="0">
      <text>
        <r>
          <rPr>
            <sz val="8"/>
            <rFont val="Tahoma"/>
            <family val="2"/>
          </rPr>
          <t>Utan moms</t>
        </r>
      </text>
    </comment>
    <comment ref="I20" authorId="0">
      <text>
        <r>
          <rPr>
            <sz val="8"/>
            <rFont val="Tahoma"/>
            <family val="2"/>
          </rPr>
          <t>Utan moms</t>
        </r>
      </text>
    </comment>
    <comment ref="I22" authorId="0">
      <text>
        <r>
          <rPr>
            <sz val="8"/>
            <rFont val="Tahoma"/>
            <family val="2"/>
          </rPr>
          <t>Lön till utomstående arbetskraft</t>
        </r>
      </text>
    </comment>
    <comment ref="I23" authorId="0">
      <text>
        <r>
          <rPr>
            <sz val="8"/>
            <rFont val="Tahoma"/>
            <family val="2"/>
          </rPr>
          <t>T.ex. FöPL, ArPL</t>
        </r>
      </text>
    </comment>
    <comment ref="I25" authorId="0">
      <text>
        <r>
          <rPr>
            <sz val="8"/>
            <rFont val="Tahoma"/>
            <family val="2"/>
          </rPr>
          <t>Utan moms</t>
        </r>
      </text>
    </comment>
    <comment ref="I26" authorId="0">
      <text>
        <r>
          <rPr>
            <sz val="8"/>
            <rFont val="Tahoma"/>
            <family val="2"/>
          </rPr>
          <t>Hela lånesumman från början av året
+ ev. januari månads lånelyft</t>
        </r>
      </text>
    </comment>
    <comment ref="AG26" authorId="0">
      <text>
        <r>
          <rPr>
            <sz val="8"/>
            <rFont val="Tahoma"/>
            <family val="2"/>
          </rPr>
          <t>Återstående lån 31.12.2010</t>
        </r>
      </text>
    </comment>
    <comment ref="I27" authorId="0">
      <text>
        <r>
          <rPr>
            <sz val="8"/>
            <rFont val="Tahoma"/>
            <family val="2"/>
          </rPr>
          <t>Eventuell amortering</t>
        </r>
      </text>
    </comment>
    <comment ref="H28" authorId="0">
      <text>
        <r>
          <rPr>
            <sz val="8"/>
            <rFont val="Tahoma"/>
            <family val="2"/>
          </rPr>
          <t>Justerbar ränta</t>
        </r>
      </text>
    </comment>
    <comment ref="I28" authorId="0">
      <text>
        <r>
          <rPr>
            <sz val="8"/>
            <rFont val="Tahoma"/>
            <family val="2"/>
          </rPr>
          <t>Räknas automatiskt enligt räntan till vänster</t>
        </r>
      </text>
    </comment>
    <comment ref="I30" authorId="0">
      <text>
        <r>
          <rPr>
            <sz val="8"/>
            <rFont val="Tahoma"/>
            <family val="2"/>
          </rPr>
          <t>Utan moms</t>
        </r>
      </text>
    </comment>
    <comment ref="I32" authorId="0">
      <text>
        <r>
          <rPr>
            <sz val="8"/>
            <rFont val="Tahoma"/>
            <family val="2"/>
          </rPr>
          <t>Eventuell moms som ska betalas för november månad</t>
        </r>
      </text>
    </comment>
    <comment ref="K32" authorId="0">
      <text>
        <r>
          <rPr>
            <sz val="8"/>
            <rFont val="Tahoma"/>
            <family val="2"/>
          </rPr>
          <t>Eventuell moms som ska betalas för december månad</t>
        </r>
      </text>
    </comment>
    <comment ref="H41" authorId="0">
      <text>
        <r>
          <rPr>
            <sz val="8"/>
            <rFont val="Tahoma"/>
            <family val="2"/>
          </rPr>
          <t>Banksaldo 1.1.2010</t>
        </r>
      </text>
    </comment>
    <comment ref="I41" authorId="0">
      <text>
        <r>
          <rPr>
            <sz val="8"/>
            <rFont val="Tahoma"/>
            <family val="2"/>
          </rPr>
          <t>Likvida medel (pengar) 31.1.2010</t>
        </r>
      </text>
    </comment>
  </commentList>
</comments>
</file>

<file path=xl/sharedStrings.xml><?xml version="1.0" encoding="utf-8"?>
<sst xmlns="http://schemas.openxmlformats.org/spreadsheetml/2006/main" count="547" uniqueCount="183">
  <si>
    <t>-</t>
  </si>
  <si>
    <t>Uppskattad kostn/insättn.</t>
  </si>
  <si>
    <t>Verklig kostn/insättn.</t>
  </si>
  <si>
    <t>Rahoitusbudjetti</t>
  </si>
  <si>
    <t>Tarha:</t>
  </si>
  <si>
    <t>Y-tunnus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</si>
  <si>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</si>
  <si>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</si>
  <si>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</si>
  <si>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</si>
  <si>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</si>
  <si>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</si>
  <si>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</si>
  <si>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</si>
  <si>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</si>
  <si>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</si>
  <si>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</si>
  <si>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</si>
  <si>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r>
      <t>Tuotot</t>
    </r>
    <r>
      <rPr>
        <u val="single"/>
        <sz val="11"/>
        <rFont val="Calibri"/>
        <family val="2"/>
      </rPr>
      <t>:</t>
    </r>
  </si>
  <si>
    <t>Nahkojen myynti</t>
  </si>
  <si>
    <t xml:space="preserve">        Nahkojen määrä: </t>
  </si>
  <si>
    <t xml:space="preserve">        Kappalehinta:</t>
  </si>
  <si>
    <t>Nahkaennakko (+/-)</t>
  </si>
  <si>
    <t>Lainan nosto</t>
  </si>
  <si>
    <t>Muut tuotot</t>
  </si>
  <si>
    <t>Palautettu ALV</t>
  </si>
  <si>
    <t>Myynnin ALV</t>
  </si>
  <si>
    <t>Tuotot yhteensä</t>
  </si>
  <si>
    <t>Kulut:</t>
  </si>
  <si>
    <t>(Rehunkulutusapu)</t>
  </si>
  <si>
    <t>Rehu/rehuennakko</t>
  </si>
  <si>
    <t>Muut kasvatuskulut</t>
  </si>
  <si>
    <t>Palkat  – Yrittjäjäpalkka</t>
  </si>
  <si>
    <r>
      <t>–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Ulkoiset palkat</t>
    </r>
  </si>
  <si>
    <t>Sosiaalivakuutukset</t>
  </si>
  <si>
    <t>Yksityiset nostot/osinkojen nosto</t>
  </si>
  <si>
    <t>Kiinteät kulut</t>
  </si>
  <si>
    <t>Lainat (jäljellä olevat)</t>
  </si>
  <si>
    <t>Lyhennykset</t>
  </si>
  <si>
    <t>Korot</t>
  </si>
  <si>
    <t>Ennakkoverot/Jäännösverot</t>
  </si>
  <si>
    <t>Investoinnit</t>
  </si>
  <si>
    <t>Muut kulut</t>
  </si>
  <si>
    <t>Maksettava ALV</t>
  </si>
  <si>
    <t>Ostoksien ALV</t>
  </si>
  <si>
    <t>Kulut yhteensä</t>
  </si>
  <si>
    <t>ALV-velka/saamiset</t>
  </si>
  <si>
    <t>Alkukassa +</t>
  </si>
  <si>
    <t>Tuotot +</t>
  </si>
  <si>
    <t>Kulut -</t>
  </si>
  <si>
    <t>Loppukassa +/-</t>
  </si>
  <si>
    <t>2014</t>
  </si>
  <si>
    <t>2013</t>
  </si>
  <si>
    <t xml:space="preserve">Kausi: </t>
  </si>
  <si>
    <t>Yhteensä 2015</t>
  </si>
  <si>
    <t>Kassatulot</t>
  </si>
  <si>
    <t>Nahkamyynti</t>
  </si>
  <si>
    <t>Nahkojen määrä</t>
  </si>
  <si>
    <t>á hinta</t>
  </si>
  <si>
    <t>Nahkaennakot</t>
  </si>
  <si>
    <t>Nostetut lainat</t>
  </si>
  <si>
    <t>Esim, avustukset, vuokratulot, osinkotulot, veronpalautukset</t>
  </si>
  <si>
    <t>Alv saatavat edellisiltä kuukausilta</t>
  </si>
  <si>
    <t>Muut tulot</t>
  </si>
  <si>
    <t>Alv saatavat</t>
  </si>
  <si>
    <t>Mynnin alv</t>
  </si>
  <si>
    <t>Tulot kokonaisuudessaan</t>
  </si>
  <si>
    <t>Maksut</t>
  </si>
  <si>
    <t>Rehu/rehuennakot</t>
  </si>
  <si>
    <t>Palkat</t>
  </si>
  <si>
    <t>- Yrittäjäpalkka</t>
  </si>
  <si>
    <t>- Ulkoiset palkat</t>
  </si>
  <si>
    <t>Eläke- (TyEL, YEL), tapaturma- ja työttömyysvakuutukset</t>
  </si>
  <si>
    <t>Yrittäjän oma palkka (ei yksityisnostot)</t>
  </si>
  <si>
    <t>(Rehunkäytön aputyökalu)</t>
  </si>
  <si>
    <t>Tällä sarakkeella voi tilastojen avulla (kts oikella oleva taulukko) helpommin budjetoida tulevia rehukustannuksia (eivät ole mukana laskelmissa)</t>
  </si>
  <si>
    <t>Kaikki rehu ja rehuennakot (ilman alvia)</t>
  </si>
  <si>
    <t xml:space="preserve">Tarhatarpeet esim. vesi, kuivikkeet, nahkontakulut, keinosiemennysmaksut, rokotteet, </t>
  </si>
  <si>
    <t>ostetut palvelut (kts tuloslasekelman muuttuvat ostot)</t>
  </si>
  <si>
    <t>Kaikki palkat ulkopuoliselle työvoimalle</t>
  </si>
  <si>
    <t>- Sosiaalivakuutukset</t>
  </si>
  <si>
    <t>Yksityisnostot/osingonjako</t>
  </si>
  <si>
    <t>Kuukauden yksityisnostot ja mahdollinen osingonjako</t>
  </si>
  <si>
    <t>Ne kulut, jotka eivät ole muuttuvia, ovat kiinteitä kuluja (kuluja joihin eivät vaikuta eläinten lukumäärä)</t>
  </si>
  <si>
    <t xml:space="preserve">Tammikuussa syötetään koko lainsumma, sen jälkeen se autommaattisesti lasketaan muille kuukausille </t>
  </si>
  <si>
    <t>- Lyhennykset</t>
  </si>
  <si>
    <t>Lainanlyhennys per kuukausi. Vähentää automaattisesti suraavan kuukauden lainasaldoa</t>
  </si>
  <si>
    <t>- Korot</t>
  </si>
  <si>
    <t>Laskee automaattisesti lainan koron 4,5 %:n mukaan</t>
  </si>
  <si>
    <t>Korkoprosentin voi itse muuttaa muuttamalla sitä solussa D27.</t>
  </si>
  <si>
    <t>Ennakkoverot/Jälkiverot</t>
  </si>
  <si>
    <t>Kuten uudet häkit, koneet, rakennukset</t>
  </si>
  <si>
    <t>Muut maksut</t>
  </si>
  <si>
    <t>Edellisten kuukausien maksettava alv</t>
  </si>
  <si>
    <t>Maksettava alv</t>
  </si>
  <si>
    <t>Ostojen alvit</t>
  </si>
  <si>
    <t>Laskee automaattisesti alvin maksetuista ostoista.</t>
  </si>
  <si>
    <t>Maksut yhteensä</t>
  </si>
  <si>
    <t>Alv velka/saatava</t>
  </si>
  <si>
    <t xml:space="preserve">Laskee automaattisesti kuukauden alv velan/alv saatavan. </t>
  </si>
  <si>
    <t>Siirtyy automaattisesti kaski kuukautta eteenpäin maksukuukaudelle</t>
  </si>
  <si>
    <t>Kassan alkusaldo</t>
  </si>
  <si>
    <t>Kassan loppusaldo</t>
  </si>
  <si>
    <t>Maksut -</t>
  </si>
  <si>
    <t>Kuukauden alussa olevat kassavarat.</t>
  </si>
  <si>
    <t>Kuukauden kassatulot.</t>
  </si>
  <si>
    <t>Kuukauden maksut</t>
  </si>
  <si>
    <t>Kuukauden lopussa olevat kassavarat</t>
  </si>
  <si>
    <t>Solujen avaaminen</t>
  </si>
  <si>
    <t>Työkalut-&gt;Suojaus-&gt;Poista lehden suojaus-&gt;Salasana: fur</t>
  </si>
  <si>
    <t>Solujen suojaus</t>
  </si>
  <si>
    <t>Työkalut-&gt;Suojaus-&gt;Suojaa sivu-&gt;Salasana: fur</t>
  </si>
  <si>
    <t xml:space="preserve">Ohjeet Rahoitusbudjetin käyttöönottoon </t>
  </si>
  <si>
    <t>Rahoitusbudjetin tarkoitus on selvittää maksukyky (kätesvarat).</t>
  </si>
  <si>
    <t>Täyttäminen tapahtuu suoritusperiaatteen mukaan</t>
  </si>
  <si>
    <t>Koko vuoden kustannukset voidaan arvioida, ja kuukausien kuluessa päivittää todellisten kustannusten ja tulojen mukaan</t>
  </si>
  <si>
    <t>Näin saadaan koko vuodelta kattava kuva rahavirroista</t>
  </si>
  <si>
    <t>Tämä sarake laskee arvot nahkojen määrä kertaa a' hinta</t>
  </si>
  <si>
    <t>Tuotto kirjataan sille kuukaudelle kun suoritus saadaan</t>
  </si>
  <si>
    <t xml:space="preserve">Eli myytyjen nahkojen lukumäärä kertaa myyntihinta per kappale. </t>
  </si>
  <si>
    <t>Myytyjen nahkojen lukumäärä per kuukausi.Mahdollisuus kahteen eri vaihtoehtoon esim. yhteen sarakkeeseen ketut toiseen minkit.</t>
  </si>
  <si>
    <t>Myyntihinta per nahka (ilman alvia)</t>
  </si>
  <si>
    <t>Saadut nahkaennakot Sagalta (ilman alvia). Vähennetyt nahkaennakot viedään miinusmerkkisenä.</t>
  </si>
  <si>
    <t>Mahdolliset nostetut lainat vuoden aikana viedään kyseiselle kuukaudelle.</t>
  </si>
  <si>
    <r>
      <t>Tähän lasketaan automaattisesti alvit N</t>
    </r>
    <r>
      <rPr>
        <i/>
        <sz val="10"/>
        <rFont val="Arial"/>
        <family val="2"/>
      </rPr>
      <t>ahkamyynnistä</t>
    </r>
    <r>
      <rPr>
        <sz val="10"/>
        <rFont val="Arial"/>
        <family val="0"/>
      </rPr>
      <t xml:space="preserve"> ja N</t>
    </r>
    <r>
      <rPr>
        <i/>
        <sz val="10"/>
        <rFont val="Arial"/>
        <family val="2"/>
      </rPr>
      <t>ahkaennakoista</t>
    </r>
    <r>
      <rPr>
        <sz val="10"/>
        <rFont val="Arial"/>
        <family val="0"/>
      </rPr>
      <t xml:space="preserve"> från </t>
    </r>
    <r>
      <rPr>
        <i/>
        <sz val="10"/>
        <rFont val="Arial"/>
        <family val="2"/>
      </rPr>
      <t xml:space="preserve">Skinnförsäljningen </t>
    </r>
    <r>
      <rPr>
        <sz val="10"/>
        <rFont val="Arial"/>
        <family val="2"/>
      </rPr>
      <t xml:space="preserve">och </t>
    </r>
    <r>
      <rPr>
        <i/>
        <sz val="10"/>
        <rFont val="Arial"/>
        <family val="2"/>
      </rPr>
      <t>Skinnförskotten.</t>
    </r>
    <r>
      <rPr>
        <sz val="10"/>
        <rFont val="Arial"/>
        <family val="2"/>
      </rPr>
      <t xml:space="preserve"> </t>
    </r>
  </si>
  <si>
    <t>Esimerkki</t>
  </si>
  <si>
    <t>Rahoitusbudjetin päivämäärä</t>
  </si>
  <si>
    <t xml:space="preserve">Teppo Turkistarhaajalla on  2 000 myymätöntä ketunnahkaa jotka nahkottiin 2009. </t>
  </si>
  <si>
    <t>Hänellä on lisäksi 250 ketunnahkaa edellisiltä vuosilta.</t>
  </si>
  <si>
    <t>Teppo Turkistarhaajalla on vuoden alussa lainaa 75 000 euroa.</t>
  </si>
  <si>
    <t>Koron hän arvioi keskiarvoltaan  4,1%.</t>
  </si>
  <si>
    <t>vuoden aikana</t>
  </si>
  <si>
    <t xml:space="preserve">per kuukausi voidakseen helpommin arvioida rehukustannukset </t>
  </si>
  <si>
    <t xml:space="preserve">Viime vuoden rehunkäyttö kohosi 55 000 euroon, </t>
  </si>
  <si>
    <t xml:space="preserve">"Rehunkäyttöavun" avulla hän voi saada apua rehukuluihin </t>
  </si>
  <si>
    <t>Hän aikoo vuoden aikana nostaa 5 000 euroa osinkona</t>
  </si>
  <si>
    <t>Pankissa hänellä oli  15 500 euroa  1.1.2010.</t>
  </si>
  <si>
    <t xml:space="preserve">Helmikuussa hän ottaa Sagafursilta nahkaennakoita 10 000 euroa, </t>
  </si>
  <si>
    <t>kattaakseen kustannuksia</t>
  </si>
  <si>
    <t>Maaliskuussa hän myy 1000 ketunnahkaa keskihintaan  58 euroa ja</t>
  </si>
  <si>
    <t>ja 500 ketunnahkaa keskihintaan 60 euroa kpl. Samalla</t>
  </si>
  <si>
    <t xml:space="preserve">kuitataan helmikuun nahkaennakko 10 000 euroa. </t>
  </si>
  <si>
    <t>9000 euroa, kun hän antaa vanhan trukin vaihdossa. Silloin hän</t>
  </si>
  <si>
    <t xml:space="preserve">huomaa, että rahat eivät tule riittämään. Hänen on joko otettava </t>
  </si>
  <si>
    <t>laina tai nahkaennakoita. Hän uskoo hyvään myyntiin joulukuussa</t>
  </si>
  <si>
    <t>Teppo Turkistarhaaja miettii kesäksi  investiointia uuteen</t>
  </si>
  <si>
    <t xml:space="preserve">rehutrukkiin. Hän budjetoi, että trukki tulee maksamaan </t>
  </si>
  <si>
    <t>ja päättää, että 5000 euroa nahkaennakoita riittää.</t>
  </si>
  <si>
    <t>Rehubudjetti siniketuille</t>
  </si>
  <si>
    <t>Rehun hinta</t>
  </si>
  <si>
    <t>€/kg (veroton)</t>
  </si>
  <si>
    <t>Naaraitten määrä</t>
  </si>
  <si>
    <t>Kassa-alennus</t>
  </si>
  <si>
    <t>Pennut</t>
  </si>
  <si>
    <t>Vuosialennus</t>
  </si>
  <si>
    <t>Tuotanto</t>
  </si>
  <si>
    <t>Rehunkulutus</t>
  </si>
  <si>
    <t>kg</t>
  </si>
  <si>
    <t>/nahka</t>
  </si>
  <si>
    <t>Kuukausi</t>
  </si>
  <si>
    <t>Yhteensä</t>
  </si>
  <si>
    <t>Pros. kulutuksesta</t>
  </si>
  <si>
    <t>Kg/kuukausi</t>
  </si>
  <si>
    <t>Rehukustannus</t>
  </si>
  <si>
    <t>kassa-alennuksella</t>
  </si>
  <si>
    <t>Veroton</t>
  </si>
  <si>
    <t>Yhteensä verolla</t>
  </si>
  <si>
    <t>Rehukustannukset yht.</t>
  </si>
  <si>
    <t>per tuotettu nahka</t>
  </si>
  <si>
    <t>NV 2003</t>
  </si>
  <si>
    <t>01.01.2021-31.12.2021</t>
  </si>
  <si>
    <t>01.01.2023-31.12.2023</t>
  </si>
  <si>
    <t>01.01.2024-31.12.2024</t>
  </si>
  <si>
    <t>01.01.2025-31.12.2025</t>
  </si>
  <si>
    <t>01.01.2026-31.12.2026</t>
  </si>
  <si>
    <t>01.01.2022-31.12.2022</t>
  </si>
  <si>
    <t>2020</t>
  </si>
  <si>
    <t>2021</t>
  </si>
  <si>
    <t>Yhteensä 2022</t>
  </si>
  <si>
    <t xml:space="preserve"> </t>
  </si>
  <si>
    <t>01.01.2021-31.12.2022</t>
  </si>
  <si>
    <t>,</t>
  </si>
  <si>
    <t>Vero 14%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</si>
</sst>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\ %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7"/>
      <name val="Times New Roman"/>
      <family val="1"/>
    </font>
    <font>
      <u val="single"/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/>
    </border>
    <border>
      <left style="dotted"/>
      <right style="thin"/>
      <top style="dotted"/>
      <bottom style="dotted"/>
    </border>
    <border>
      <left/>
      <right/>
      <top style="thin"/>
      <bottom style="thick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/>
      <top style="thick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 style="thin"/>
      <bottom style="thick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33" borderId="11" xfId="0" applyNumberFormat="1" applyFont="1" applyFill="1" applyBorder="1" applyAlignment="1" applyProtection="1">
      <alignment horizontal="right"/>
      <protection locked="0"/>
    </xf>
    <xf numFmtId="3" fontId="4" fillId="33" borderId="12" xfId="0" applyNumberFormat="1" applyFont="1" applyFill="1" applyBorder="1" applyAlignment="1" applyProtection="1">
      <alignment horizontal="right"/>
      <protection locked="0"/>
    </xf>
    <xf numFmtId="3" fontId="4" fillId="34" borderId="13" xfId="0" applyNumberFormat="1" applyFont="1" applyFill="1" applyBorder="1" applyAlignment="1" applyProtection="1">
      <alignment horizontal="right"/>
      <protection locked="0"/>
    </xf>
    <xf numFmtId="3" fontId="4" fillId="33" borderId="13" xfId="0" applyNumberFormat="1" applyFont="1" applyFill="1" applyBorder="1" applyAlignment="1" applyProtection="1">
      <alignment horizontal="right"/>
      <protection locked="0"/>
    </xf>
    <xf numFmtId="3" fontId="4" fillId="33" borderId="14" xfId="0" applyNumberFormat="1" applyFont="1" applyFill="1" applyBorder="1" applyAlignment="1" applyProtection="1">
      <alignment horizontal="right"/>
      <protection locked="0"/>
    </xf>
    <xf numFmtId="3" fontId="4" fillId="34" borderId="14" xfId="0" applyNumberFormat="1" applyFont="1" applyFill="1" applyBorder="1" applyAlignment="1" applyProtection="1">
      <alignment horizontal="right"/>
      <protection locked="0"/>
    </xf>
    <xf numFmtId="3" fontId="4" fillId="34" borderId="1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9" fontId="0" fillId="0" borderId="0" xfId="52" applyFont="1" applyFill="1" applyBorder="1" applyAlignment="1" applyProtection="1">
      <alignment horizontal="center"/>
      <protection locked="0"/>
    </xf>
    <xf numFmtId="9" fontId="0" fillId="0" borderId="0" xfId="52" applyFont="1" applyFill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16" xfId="0" applyNumberForma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 horizontal="right"/>
      <protection locked="0"/>
    </xf>
    <xf numFmtId="3" fontId="0" fillId="0" borderId="19" xfId="0" applyNumberForma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4" fillId="0" borderId="21" xfId="0" applyNumberFormat="1" applyFont="1" applyFill="1" applyBorder="1" applyAlignment="1" applyProtection="1">
      <alignment/>
      <protection locked="0"/>
    </xf>
    <xf numFmtId="9" fontId="0" fillId="0" borderId="21" xfId="52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/>
      <protection locked="0"/>
    </xf>
    <xf numFmtId="164" fontId="0" fillId="0" borderId="22" xfId="52" applyNumberFormat="1" applyFont="1" applyFill="1" applyBorder="1" applyAlignment="1" applyProtection="1">
      <alignment horizontal="center"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/>
    </xf>
    <xf numFmtId="3" fontId="0" fillId="34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0" fillId="0" borderId="0" xfId="52" applyNumberFormat="1" applyFont="1" applyFill="1" applyBorder="1" applyAlignment="1" applyProtection="1">
      <alignment horizontal="center"/>
      <protection locked="0"/>
    </xf>
    <xf numFmtId="3" fontId="0" fillId="0" borderId="0" xfId="52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49" fontId="0" fillId="0" borderId="0" xfId="0" applyNumberFormat="1" applyFont="1" applyAlignment="1">
      <alignment/>
    </xf>
    <xf numFmtId="3" fontId="4" fillId="35" borderId="11" xfId="0" applyNumberFormat="1" applyFont="1" applyFill="1" applyBorder="1" applyAlignment="1" applyProtection="1">
      <alignment horizontal="right"/>
      <protection locked="0"/>
    </xf>
    <xf numFmtId="3" fontId="4" fillId="35" borderId="12" xfId="0" applyNumberFormat="1" applyFont="1" applyFill="1" applyBorder="1" applyAlignment="1" applyProtection="1">
      <alignment horizontal="right"/>
      <protection locked="0"/>
    </xf>
    <xf numFmtId="3" fontId="4" fillId="35" borderId="13" xfId="0" applyNumberFormat="1" applyFont="1" applyFill="1" applyBorder="1" applyAlignment="1" applyProtection="1">
      <alignment horizontal="right"/>
      <protection locked="0"/>
    </xf>
    <xf numFmtId="3" fontId="4" fillId="36" borderId="14" xfId="0" applyNumberFormat="1" applyFont="1" applyFill="1" applyBorder="1" applyAlignment="1" applyProtection="1">
      <alignment horizontal="right"/>
      <protection locked="0"/>
    </xf>
    <xf numFmtId="3" fontId="4" fillId="36" borderId="15" xfId="0" applyNumberFormat="1" applyFont="1" applyFill="1" applyBorder="1" applyAlignment="1" applyProtection="1">
      <alignment horizontal="right"/>
      <protection locked="0"/>
    </xf>
    <xf numFmtId="3" fontId="4" fillId="36" borderId="13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on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14" fontId="3" fillId="0" borderId="0" xfId="0" applyNumberFormat="1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2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14" fillId="0" borderId="0" xfId="0" applyFont="1" applyAlignment="1">
      <alignment vertical="center"/>
    </xf>
    <xf numFmtId="0" fontId="1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4" fillId="37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0" fillId="37" borderId="12" xfId="0" applyFont="1" applyFill="1" applyBorder="1" applyAlignment="1">
      <alignment horizontal="left"/>
    </xf>
    <xf numFmtId="9" fontId="4" fillId="37" borderId="12" xfId="0" applyNumberFormat="1" applyFont="1" applyFill="1" applyBorder="1" applyAlignment="1">
      <alignment horizontal="center"/>
    </xf>
    <xf numFmtId="2" fontId="20" fillId="37" borderId="12" xfId="0" applyNumberFormat="1" applyFont="1" applyFill="1" applyBorder="1" applyAlignment="1">
      <alignment horizontal="left"/>
    </xf>
    <xf numFmtId="2" fontId="18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4" fillId="37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0" fontId="22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2" fillId="0" borderId="0" xfId="58" applyFont="1" applyAlignment="1">
      <alignment/>
    </xf>
    <xf numFmtId="44" fontId="23" fillId="0" borderId="0" xfId="58" applyFont="1" applyAlignment="1">
      <alignment/>
    </xf>
    <xf numFmtId="44" fontId="4" fillId="0" borderId="0" xfId="58" applyFont="1" applyAlignment="1">
      <alignment/>
    </xf>
    <xf numFmtId="44" fontId="4" fillId="0" borderId="0" xfId="58" applyFont="1" applyFill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13" xfId="0" applyNumberFormat="1" applyFont="1" applyFill="1" applyBorder="1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right"/>
      <protection/>
    </xf>
    <xf numFmtId="3" fontId="0" fillId="0" borderId="26" xfId="0" applyNumberFormat="1" applyFill="1" applyBorder="1" applyAlignment="1" applyProtection="1">
      <alignment horizontal="right"/>
      <protection/>
    </xf>
    <xf numFmtId="3" fontId="0" fillId="0" borderId="27" xfId="0" applyNumberForma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2" xfId="0" applyNumberFormat="1" applyFill="1" applyBorder="1" applyAlignment="1" applyProtection="1">
      <alignment horizontal="right"/>
      <protection/>
    </xf>
    <xf numFmtId="3" fontId="0" fillId="0" borderId="15" xfId="0" applyNumberFormat="1" applyFill="1" applyBorder="1" applyAlignment="1" applyProtection="1">
      <alignment horizontal="right"/>
      <protection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/>
    </xf>
    <xf numFmtId="3" fontId="0" fillId="33" borderId="12" xfId="0" applyNumberFormat="1" applyFill="1" applyBorder="1" applyAlignment="1" applyProtection="1">
      <alignment horizontal="right"/>
      <protection locked="0"/>
    </xf>
    <xf numFmtId="3" fontId="0" fillId="34" borderId="12" xfId="0" applyNumberFormat="1" applyFill="1" applyBorder="1" applyAlignment="1" applyProtection="1">
      <alignment horizontal="right"/>
      <protection locked="0"/>
    </xf>
    <xf numFmtId="3" fontId="0" fillId="34" borderId="15" xfId="0" applyNumberFormat="1" applyFill="1" applyBorder="1" applyAlignment="1" applyProtection="1">
      <alignment horizontal="right"/>
      <protection locked="0"/>
    </xf>
    <xf numFmtId="3" fontId="0" fillId="33" borderId="16" xfId="0" applyNumberFormat="1" applyFill="1" applyBorder="1" applyAlignment="1" applyProtection="1">
      <alignment horizontal="right"/>
      <protection locked="0"/>
    </xf>
    <xf numFmtId="3" fontId="0" fillId="0" borderId="30" xfId="0" applyNumberFormat="1" applyFill="1" applyBorder="1" applyAlignment="1" applyProtection="1">
      <alignment horizontal="right"/>
      <protection/>
    </xf>
    <xf numFmtId="3" fontId="0" fillId="0" borderId="31" xfId="0" applyNumberFormat="1" applyFill="1" applyBorder="1" applyAlignment="1" applyProtection="1">
      <alignment horizontal="right"/>
      <protection/>
    </xf>
    <xf numFmtId="3" fontId="0" fillId="35" borderId="32" xfId="0" applyNumberFormat="1" applyFill="1" applyBorder="1" applyAlignment="1" applyProtection="1">
      <alignment horizontal="right"/>
      <protection locked="0"/>
    </xf>
    <xf numFmtId="3" fontId="0" fillId="35" borderId="10" xfId="0" applyNumberFormat="1" applyFill="1" applyBorder="1" applyAlignment="1" applyProtection="1">
      <alignment horizontal="right"/>
      <protection locked="0"/>
    </xf>
    <xf numFmtId="3" fontId="0" fillId="33" borderId="10" xfId="0" applyNumberFormat="1" applyFill="1" applyBorder="1" applyAlignment="1" applyProtection="1">
      <alignment horizontal="right"/>
      <protection locked="0"/>
    </xf>
    <xf numFmtId="3" fontId="0" fillId="35" borderId="12" xfId="0" applyNumberFormat="1" applyFill="1" applyBorder="1" applyAlignment="1" applyProtection="1">
      <alignment horizontal="right"/>
      <protection locked="0"/>
    </xf>
    <xf numFmtId="3" fontId="0" fillId="35" borderId="32" xfId="52" applyNumberFormat="1" applyFont="1" applyFill="1" applyBorder="1" applyAlignment="1" applyProtection="1">
      <alignment horizontal="right"/>
      <protection locked="0"/>
    </xf>
    <xf numFmtId="3" fontId="0" fillId="35" borderId="10" xfId="52" applyNumberFormat="1" applyFont="1" applyFill="1" applyBorder="1" applyAlignment="1" applyProtection="1">
      <alignment horizontal="right"/>
      <protection locked="0"/>
    </xf>
    <xf numFmtId="3" fontId="0" fillId="35" borderId="12" xfId="52" applyNumberFormat="1" applyFont="1" applyFill="1" applyBorder="1" applyAlignment="1" applyProtection="1">
      <alignment horizontal="right"/>
      <protection locked="0"/>
    </xf>
    <xf numFmtId="3" fontId="0" fillId="35" borderId="12" xfId="52" applyNumberFormat="1" applyFont="1" applyFill="1" applyBorder="1" applyAlignment="1" applyProtection="1">
      <alignment horizontal="right"/>
      <protection locked="0"/>
    </xf>
    <xf numFmtId="3" fontId="0" fillId="35" borderId="32" xfId="52" applyNumberFormat="1" applyFont="1" applyFill="1" applyBorder="1" applyAlignment="1" applyProtection="1">
      <alignment horizontal="right"/>
      <protection locked="0"/>
    </xf>
    <xf numFmtId="3" fontId="0" fillId="35" borderId="10" xfId="52" applyNumberFormat="1" applyFon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/>
    </xf>
    <xf numFmtId="3" fontId="2" fillId="0" borderId="33" xfId="0" applyNumberFormat="1" applyFont="1" applyFill="1" applyBorder="1" applyAlignment="1" applyProtection="1">
      <alignment horizontal="right"/>
      <protection/>
    </xf>
    <xf numFmtId="3" fontId="2" fillId="0" borderId="34" xfId="0" applyNumberFormat="1" applyFont="1" applyFill="1" applyBorder="1" applyAlignment="1" applyProtection="1">
      <alignment horizontal="right"/>
      <protection/>
    </xf>
    <xf numFmtId="3" fontId="2" fillId="0" borderId="35" xfId="0" applyNumberFormat="1" applyFont="1" applyFill="1" applyBorder="1" applyAlignment="1" applyProtection="1">
      <alignment horizontal="right"/>
      <protection/>
    </xf>
    <xf numFmtId="3" fontId="2" fillId="0" borderId="36" xfId="0" applyNumberFormat="1" applyFont="1" applyFill="1" applyBorder="1" applyAlignment="1" applyProtection="1">
      <alignment horizontal="right"/>
      <protection/>
    </xf>
    <xf numFmtId="3" fontId="0" fillId="0" borderId="20" xfId="0" applyNumberFormat="1" applyFill="1" applyBorder="1" applyAlignment="1" applyProtection="1">
      <alignment horizontal="right"/>
      <protection/>
    </xf>
    <xf numFmtId="3" fontId="0" fillId="34" borderId="32" xfId="0" applyNumberFormat="1" applyFill="1" applyBorder="1" applyAlignment="1" applyProtection="1">
      <alignment horizontal="right"/>
      <protection locked="0"/>
    </xf>
    <xf numFmtId="3" fontId="0" fillId="34" borderId="10" xfId="0" applyNumberFormat="1" applyFill="1" applyBorder="1" applyAlignment="1" applyProtection="1">
      <alignment horizontal="right"/>
      <protection locked="0"/>
    </xf>
    <xf numFmtId="3" fontId="0" fillId="34" borderId="37" xfId="0" applyNumberFormat="1" applyFill="1" applyBorder="1" applyAlignment="1" applyProtection="1">
      <alignment horizontal="right"/>
      <protection locked="0"/>
    </xf>
    <xf numFmtId="3" fontId="0" fillId="33" borderId="32" xfId="0" applyNumberFormat="1" applyFill="1" applyBorder="1" applyAlignment="1" applyProtection="1">
      <alignment horizontal="right"/>
      <protection locked="0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  <protection locked="0"/>
    </xf>
    <xf numFmtId="3" fontId="4" fillId="35" borderId="32" xfId="0" applyNumberFormat="1" applyFont="1" applyFill="1" applyBorder="1" applyAlignment="1" applyProtection="1">
      <alignment horizontal="right"/>
      <protection locked="0"/>
    </xf>
    <xf numFmtId="3" fontId="4" fillId="35" borderId="10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49" fontId="8" fillId="0" borderId="42" xfId="0" applyNumberFormat="1" applyFont="1" applyFill="1" applyBorder="1" applyAlignment="1" applyProtection="1">
      <alignment horizontal="center"/>
      <protection locked="0"/>
    </xf>
    <xf numFmtId="49" fontId="8" fillId="0" borderId="42" xfId="0" applyNumberFormat="1" applyFont="1" applyFill="1" applyBorder="1" applyAlignment="1" applyProtection="1">
      <alignment horizontal="center"/>
      <protection locked="0"/>
    </xf>
    <xf numFmtId="49" fontId="8" fillId="0" borderId="39" xfId="0" applyNumberFormat="1" applyFont="1" applyFill="1" applyBorder="1" applyAlignment="1" applyProtection="1">
      <alignment horizontal="center"/>
      <protection locked="0"/>
    </xf>
    <xf numFmtId="49" fontId="8" fillId="0" borderId="4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3" fontId="0" fillId="36" borderId="32" xfId="0" applyNumberFormat="1" applyFill="1" applyBorder="1" applyAlignment="1" applyProtection="1">
      <alignment horizontal="right"/>
      <protection locked="0"/>
    </xf>
    <xf numFmtId="3" fontId="0" fillId="36" borderId="10" xfId="0" applyNumberFormat="1" applyFill="1" applyBorder="1" applyAlignment="1" applyProtection="1">
      <alignment horizontal="right"/>
      <protection locked="0"/>
    </xf>
    <xf numFmtId="3" fontId="0" fillId="35" borderId="16" xfId="0" applyNumberFormat="1" applyFill="1" applyBorder="1" applyAlignment="1" applyProtection="1">
      <alignment horizontal="right"/>
      <protection locked="0"/>
    </xf>
    <xf numFmtId="3" fontId="0" fillId="35" borderId="32" xfId="0" applyNumberFormat="1" applyFont="1" applyFill="1" applyBorder="1" applyAlignment="1" applyProtection="1">
      <alignment horizontal="right"/>
      <protection locked="0"/>
    </xf>
    <xf numFmtId="3" fontId="0" fillId="35" borderId="10" xfId="0" applyNumberFormat="1" applyFont="1" applyFill="1" applyBorder="1" applyAlignment="1" applyProtection="1">
      <alignment horizontal="right"/>
      <protection locked="0"/>
    </xf>
    <xf numFmtId="3" fontId="0" fillId="36" borderId="37" xfId="0" applyNumberFormat="1" applyFill="1" applyBorder="1" applyAlignment="1" applyProtection="1">
      <alignment horizontal="right"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4" fillId="0" borderId="32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0" fillId="35" borderId="32" xfId="0" applyFill="1" applyBorder="1" applyAlignment="1" applyProtection="1">
      <alignment horizontal="right"/>
      <protection locked="0"/>
    </xf>
    <xf numFmtId="0" fontId="0" fillId="35" borderId="10" xfId="0" applyFill="1" applyBorder="1" applyAlignment="1" applyProtection="1">
      <alignment horizontal="right"/>
      <protection locked="0"/>
    </xf>
    <xf numFmtId="3" fontId="0" fillId="36" borderId="16" xfId="0" applyNumberFormat="1" applyFill="1" applyBorder="1" applyAlignment="1" applyProtection="1">
      <alignment horizontal="right"/>
      <protection locked="0"/>
    </xf>
    <xf numFmtId="3" fontId="0" fillId="36" borderId="12" xfId="0" applyNumberFormat="1" applyFill="1" applyBorder="1" applyAlignment="1" applyProtection="1">
      <alignment horizontal="right"/>
      <protection locked="0"/>
    </xf>
    <xf numFmtId="3" fontId="0" fillId="35" borderId="12" xfId="0" applyNumberFormat="1" applyFont="1" applyFill="1" applyBorder="1" applyAlignment="1" applyProtection="1">
      <alignment horizontal="right"/>
      <protection locked="0"/>
    </xf>
    <xf numFmtId="3" fontId="0" fillId="36" borderId="12" xfId="0" applyNumberFormat="1" applyFont="1" applyFill="1" applyBorder="1" applyAlignment="1" applyProtection="1">
      <alignment horizontal="right"/>
      <protection locked="0"/>
    </xf>
    <xf numFmtId="3" fontId="0" fillId="36" borderId="15" xfId="0" applyNumberFormat="1" applyFill="1" applyBorder="1" applyAlignment="1" applyProtection="1">
      <alignment horizontal="right"/>
      <protection locked="0"/>
    </xf>
    <xf numFmtId="3" fontId="0" fillId="0" borderId="12" xfId="52" applyNumberFormat="1" applyFont="1" applyFill="1" applyBorder="1" applyAlignment="1" applyProtection="1">
      <alignment horizontal="right"/>
      <protection locked="0"/>
    </xf>
    <xf numFmtId="3" fontId="0" fillId="0" borderId="32" xfId="52" applyNumberFormat="1" applyFont="1" applyFill="1" applyBorder="1" applyAlignment="1" applyProtection="1">
      <alignment horizontal="right"/>
      <protection locked="0"/>
    </xf>
    <xf numFmtId="3" fontId="0" fillId="0" borderId="10" xfId="52" applyNumberFormat="1" applyFont="1" applyFill="1" applyBorder="1" applyAlignment="1" applyProtection="1">
      <alignment horizontal="right"/>
      <protection locked="0"/>
    </xf>
    <xf numFmtId="3" fontId="0" fillId="0" borderId="32" xfId="52" applyNumberFormat="1" applyFont="1" applyFill="1" applyBorder="1" applyAlignment="1" applyProtection="1">
      <alignment horizontal="right"/>
      <protection locked="0"/>
    </xf>
    <xf numFmtId="3" fontId="0" fillId="0" borderId="10" xfId="52" applyNumberFormat="1" applyFont="1" applyFill="1" applyBorder="1" applyAlignment="1" applyProtection="1">
      <alignment horizontal="right"/>
      <protection locked="0"/>
    </xf>
    <xf numFmtId="3" fontId="0" fillId="0" borderId="12" xfId="52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24</xdr:row>
      <xdr:rowOff>161925</xdr:rowOff>
    </xdr:from>
    <xdr:to>
      <xdr:col>21</xdr:col>
      <xdr:colOff>419100</xdr:colOff>
      <xdr:row>36</xdr:row>
      <xdr:rowOff>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4962525"/>
          <a:ext cx="42291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="84" zoomScaleNormal="84" workbookViewId="0" topLeftCell="A1">
      <selection activeCell="A2" sqref="A2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170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SUM(E6,E9:F13)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AE4:AF4"/>
    <mergeCell ref="AG4:AH4"/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G5:H5"/>
    <mergeCell ref="I5:J5"/>
    <mergeCell ref="K5:L5"/>
    <mergeCell ref="M5:N5"/>
    <mergeCell ref="O5:P5"/>
    <mergeCell ref="U4:V4"/>
    <mergeCell ref="W4:X4"/>
    <mergeCell ref="Y4:Z4"/>
    <mergeCell ref="AA4:AB4"/>
    <mergeCell ref="W6:X6"/>
    <mergeCell ref="Y6:Z6"/>
    <mergeCell ref="AA6:AB6"/>
    <mergeCell ref="W5:X5"/>
    <mergeCell ref="Y5:Z5"/>
    <mergeCell ref="AA5:AB5"/>
    <mergeCell ref="AE6:AF6"/>
    <mergeCell ref="AG6:AH6"/>
    <mergeCell ref="AE7:AF7"/>
    <mergeCell ref="AG7:AH7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Q5:R5"/>
    <mergeCell ref="S5:T5"/>
    <mergeCell ref="U5:V5"/>
    <mergeCell ref="E5:F5"/>
    <mergeCell ref="AG9:AH9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I10:J10"/>
    <mergeCell ref="K10:L10"/>
    <mergeCell ref="M10:N10"/>
    <mergeCell ref="O10:P10"/>
    <mergeCell ref="U9:V9"/>
    <mergeCell ref="W9:X9"/>
    <mergeCell ref="Y9:Z9"/>
    <mergeCell ref="AA9:AB9"/>
    <mergeCell ref="AE9:AF9"/>
    <mergeCell ref="U11:V11"/>
    <mergeCell ref="W11:X11"/>
    <mergeCell ref="Y11:Z11"/>
    <mergeCell ref="AA11:AB11"/>
    <mergeCell ref="AE11:AF11"/>
    <mergeCell ref="AG11:AH11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B10"/>
    <mergeCell ref="E10:F10"/>
    <mergeCell ref="G10:H10"/>
    <mergeCell ref="Q12:R12"/>
    <mergeCell ref="S12:T12"/>
    <mergeCell ref="U12:V12"/>
    <mergeCell ref="W12:X12"/>
    <mergeCell ref="Y12:Z12"/>
    <mergeCell ref="AA12:AB12"/>
    <mergeCell ref="E12:F12"/>
    <mergeCell ref="G12:H12"/>
    <mergeCell ref="I12:J12"/>
    <mergeCell ref="K12:L12"/>
    <mergeCell ref="M12:N12"/>
    <mergeCell ref="O12:P12"/>
    <mergeCell ref="Q13:R13"/>
    <mergeCell ref="O13:P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Q15:R15"/>
    <mergeCell ref="S15:T15"/>
    <mergeCell ref="U15:V15"/>
    <mergeCell ref="W15:X15"/>
    <mergeCell ref="Y15:Z15"/>
    <mergeCell ref="AA15:AB15"/>
    <mergeCell ref="E15:F15"/>
    <mergeCell ref="G15:H15"/>
    <mergeCell ref="I15:J15"/>
    <mergeCell ref="K15:L15"/>
    <mergeCell ref="M15:N15"/>
    <mergeCell ref="O15:P15"/>
    <mergeCell ref="Q16:R16"/>
    <mergeCell ref="S16:T16"/>
    <mergeCell ref="U16:V16"/>
    <mergeCell ref="W16:X16"/>
    <mergeCell ref="Y16:Z16"/>
    <mergeCell ref="AA16:AB16"/>
    <mergeCell ref="E16:F16"/>
    <mergeCell ref="G16:H16"/>
    <mergeCell ref="I16:J16"/>
    <mergeCell ref="K16:L16"/>
    <mergeCell ref="M16:N16"/>
    <mergeCell ref="O16:P16"/>
    <mergeCell ref="AA18:AB18"/>
    <mergeCell ref="E18:F18"/>
    <mergeCell ref="G18:H18"/>
    <mergeCell ref="I18:J18"/>
    <mergeCell ref="K18:L18"/>
    <mergeCell ref="M18:N18"/>
    <mergeCell ref="O18:P18"/>
    <mergeCell ref="U18:V18"/>
    <mergeCell ref="W18:X18"/>
    <mergeCell ref="Y18:Z18"/>
    <mergeCell ref="Q17:R17"/>
    <mergeCell ref="S17:T17"/>
    <mergeCell ref="U17:V17"/>
    <mergeCell ref="W17:X17"/>
    <mergeCell ref="Y17:Z17"/>
    <mergeCell ref="AA17:AB17"/>
    <mergeCell ref="Q18:R18"/>
    <mergeCell ref="S18:T18"/>
    <mergeCell ref="Q19:R19"/>
    <mergeCell ref="S19:T19"/>
    <mergeCell ref="E17:F17"/>
    <mergeCell ref="G17:H17"/>
    <mergeCell ref="I17:J17"/>
    <mergeCell ref="K17:L17"/>
    <mergeCell ref="M17:N17"/>
    <mergeCell ref="O17:P17"/>
    <mergeCell ref="U20:V20"/>
    <mergeCell ref="W20:X20"/>
    <mergeCell ref="Y20:Z20"/>
    <mergeCell ref="AA20:AB20"/>
    <mergeCell ref="AE20:AF20"/>
    <mergeCell ref="AG20:AH20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19:V19"/>
    <mergeCell ref="W19:X19"/>
    <mergeCell ref="Y19:Z19"/>
    <mergeCell ref="AA19:AB19"/>
    <mergeCell ref="E19:F19"/>
    <mergeCell ref="G19:H19"/>
    <mergeCell ref="I19:J19"/>
    <mergeCell ref="K19:L19"/>
    <mergeCell ref="M19:N19"/>
    <mergeCell ref="O19:P19"/>
    <mergeCell ref="E22:F22"/>
    <mergeCell ref="G22:H22"/>
    <mergeCell ref="I22:J22"/>
    <mergeCell ref="K22:L22"/>
    <mergeCell ref="M22:N22"/>
    <mergeCell ref="O22:P22"/>
    <mergeCell ref="W21:X21"/>
    <mergeCell ref="Y21:Z21"/>
    <mergeCell ref="Y22:Z22"/>
    <mergeCell ref="AG22:AH22"/>
    <mergeCell ref="AE21:AF21"/>
    <mergeCell ref="AG21:AH21"/>
    <mergeCell ref="AA21:AB21"/>
    <mergeCell ref="W22:X22"/>
    <mergeCell ref="AA22:AB22"/>
    <mergeCell ref="AE22:AF22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I23:J23"/>
    <mergeCell ref="K23:L23"/>
    <mergeCell ref="M23:N23"/>
    <mergeCell ref="O23:P23"/>
    <mergeCell ref="U22:V22"/>
    <mergeCell ref="S22:T22"/>
    <mergeCell ref="Q22:R22"/>
    <mergeCell ref="E23:F23"/>
    <mergeCell ref="U24:V24"/>
    <mergeCell ref="W24:X24"/>
    <mergeCell ref="Y24:Z24"/>
    <mergeCell ref="AA24:AB24"/>
    <mergeCell ref="AE24:AF24"/>
    <mergeCell ref="AA23:AB23"/>
    <mergeCell ref="Y23:Z23"/>
    <mergeCell ref="E24:F24"/>
    <mergeCell ref="G24:H24"/>
    <mergeCell ref="I24:J24"/>
    <mergeCell ref="K24:L24"/>
    <mergeCell ref="M24:N24"/>
    <mergeCell ref="O24:P24"/>
    <mergeCell ref="S25:T25"/>
    <mergeCell ref="U25:V25"/>
    <mergeCell ref="Q25:R25"/>
    <mergeCell ref="AG24:AH24"/>
    <mergeCell ref="AE23:AF23"/>
    <mergeCell ref="AG23:AH23"/>
    <mergeCell ref="S24:T24"/>
    <mergeCell ref="Q23:R23"/>
    <mergeCell ref="S23:T23"/>
    <mergeCell ref="U23:V23"/>
    <mergeCell ref="W23:X23"/>
    <mergeCell ref="Q24:R24"/>
    <mergeCell ref="G23:H23"/>
    <mergeCell ref="AG26:AH26"/>
    <mergeCell ref="AE25:AF25"/>
    <mergeCell ref="AG25:AH25"/>
    <mergeCell ref="E26:F26"/>
    <mergeCell ref="G26:H26"/>
    <mergeCell ref="I26:J26"/>
    <mergeCell ref="W25:X25"/>
    <mergeCell ref="Y25:Z25"/>
    <mergeCell ref="AA25:AB25"/>
    <mergeCell ref="E25:F25"/>
    <mergeCell ref="G25:H25"/>
    <mergeCell ref="I25:J25"/>
    <mergeCell ref="K25:L25"/>
    <mergeCell ref="M25:N25"/>
    <mergeCell ref="O25:P25"/>
    <mergeCell ref="K27:L27"/>
    <mergeCell ref="M27:N27"/>
    <mergeCell ref="O27:P27"/>
    <mergeCell ref="U26:V26"/>
    <mergeCell ref="W26:X26"/>
    <mergeCell ref="O26:P26"/>
    <mergeCell ref="Q26:R26"/>
    <mergeCell ref="S26:T26"/>
    <mergeCell ref="K26:L26"/>
    <mergeCell ref="M26:N26"/>
    <mergeCell ref="Y26:Z26"/>
    <mergeCell ref="AA26:AB26"/>
    <mergeCell ref="AE26:AF26"/>
    <mergeCell ref="U28:V28"/>
    <mergeCell ref="W28:X28"/>
    <mergeCell ref="Y28:Z28"/>
    <mergeCell ref="AA28:AB28"/>
    <mergeCell ref="AE28:AF28"/>
    <mergeCell ref="AA27:AB27"/>
    <mergeCell ref="W27:X27"/>
    <mergeCell ref="Y27:Z27"/>
    <mergeCell ref="AG28:AH28"/>
    <mergeCell ref="AE27:AF27"/>
    <mergeCell ref="AG27:AH27"/>
    <mergeCell ref="E28:F28"/>
    <mergeCell ref="G28:H28"/>
    <mergeCell ref="I28:J28"/>
    <mergeCell ref="K28:L28"/>
    <mergeCell ref="M28:N28"/>
    <mergeCell ref="I27:J27"/>
    <mergeCell ref="AG30:AH30"/>
    <mergeCell ref="AE29:AF29"/>
    <mergeCell ref="AG29:AH29"/>
    <mergeCell ref="E30:F30"/>
    <mergeCell ref="G30:H30"/>
    <mergeCell ref="I30:J30"/>
    <mergeCell ref="K30:L30"/>
    <mergeCell ref="M30:N30"/>
    <mergeCell ref="Q30:R30"/>
    <mergeCell ref="S30:T30"/>
    <mergeCell ref="S29:T29"/>
    <mergeCell ref="U29:V29"/>
    <mergeCell ref="E27:F27"/>
    <mergeCell ref="G27:H27"/>
    <mergeCell ref="S28:T28"/>
    <mergeCell ref="Q27:R27"/>
    <mergeCell ref="S27:T27"/>
    <mergeCell ref="U27:V27"/>
    <mergeCell ref="O28:P28"/>
    <mergeCell ref="Q28:R28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Q29:R29"/>
    <mergeCell ref="I31:J31"/>
    <mergeCell ref="K31:L31"/>
    <mergeCell ref="M31:N31"/>
    <mergeCell ref="O31:P31"/>
    <mergeCell ref="U30:V30"/>
    <mergeCell ref="W30:X30"/>
    <mergeCell ref="S31:T31"/>
    <mergeCell ref="U31:V31"/>
    <mergeCell ref="W31:X31"/>
    <mergeCell ref="O30:P30"/>
    <mergeCell ref="Y30:Z30"/>
    <mergeCell ref="AA30:AB30"/>
    <mergeCell ref="AE30:AF30"/>
    <mergeCell ref="E33:F33"/>
    <mergeCell ref="G33:H33"/>
    <mergeCell ref="I33:J33"/>
    <mergeCell ref="K33:L33"/>
    <mergeCell ref="M33:N33"/>
    <mergeCell ref="O33:P33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Q31:R31"/>
    <mergeCell ref="Y31:Z31"/>
    <mergeCell ref="AA31:AB31"/>
    <mergeCell ref="E31:F31"/>
    <mergeCell ref="G31:H31"/>
    <mergeCell ref="Q33:R33"/>
    <mergeCell ref="S33:T33"/>
    <mergeCell ref="U33:V33"/>
    <mergeCell ref="W33:X33"/>
    <mergeCell ref="Y33:Z33"/>
    <mergeCell ref="AA33:AB33"/>
    <mergeCell ref="U32:V32"/>
    <mergeCell ref="W32:X32"/>
    <mergeCell ref="Y32:Z32"/>
    <mergeCell ref="AA32:AB32"/>
    <mergeCell ref="Q34:R34"/>
    <mergeCell ref="S34:T34"/>
    <mergeCell ref="U34:V34"/>
    <mergeCell ref="W34:X34"/>
    <mergeCell ref="Y34:Z34"/>
    <mergeCell ref="AA34:AB34"/>
    <mergeCell ref="E34:F34"/>
    <mergeCell ref="G34:H34"/>
    <mergeCell ref="I34:J34"/>
    <mergeCell ref="K34:L34"/>
    <mergeCell ref="M34:N34"/>
    <mergeCell ref="O34:P34"/>
    <mergeCell ref="Q35:R35"/>
    <mergeCell ref="S35:T35"/>
    <mergeCell ref="U35:V35"/>
    <mergeCell ref="W35:X35"/>
    <mergeCell ref="Y35:Z35"/>
    <mergeCell ref="AA35:AB35"/>
    <mergeCell ref="E35:F35"/>
    <mergeCell ref="G35:H35"/>
    <mergeCell ref="I35:J35"/>
    <mergeCell ref="K35:L35"/>
    <mergeCell ref="M35:N35"/>
    <mergeCell ref="O35:P35"/>
    <mergeCell ref="Q36:R36"/>
    <mergeCell ref="S36:T36"/>
    <mergeCell ref="U36:V36"/>
    <mergeCell ref="W36:X36"/>
    <mergeCell ref="Y36:Z36"/>
    <mergeCell ref="AA36:AB36"/>
    <mergeCell ref="E36:F36"/>
    <mergeCell ref="G36:H36"/>
    <mergeCell ref="I36:J36"/>
    <mergeCell ref="K36:L36"/>
    <mergeCell ref="M36:N36"/>
    <mergeCell ref="O36:P36"/>
    <mergeCell ref="Q37:R37"/>
    <mergeCell ref="S37:T37"/>
    <mergeCell ref="U37:V37"/>
    <mergeCell ref="W37:X37"/>
    <mergeCell ref="Y37:Z37"/>
    <mergeCell ref="AA37:AB37"/>
    <mergeCell ref="E37:F37"/>
    <mergeCell ref="G37:H37"/>
    <mergeCell ref="I37:J37"/>
    <mergeCell ref="K37:L37"/>
    <mergeCell ref="M37:N37"/>
    <mergeCell ref="O37:P37"/>
    <mergeCell ref="Q38:R38"/>
    <mergeCell ref="S38:T38"/>
    <mergeCell ref="U38:V38"/>
    <mergeCell ref="W38:X38"/>
    <mergeCell ref="Y38:Z38"/>
    <mergeCell ref="AA38:AB38"/>
    <mergeCell ref="E38:F38"/>
    <mergeCell ref="G38:H38"/>
    <mergeCell ref="I38:J38"/>
    <mergeCell ref="K38:L38"/>
    <mergeCell ref="M38:N38"/>
    <mergeCell ref="O38:P38"/>
    <mergeCell ref="Q39:R39"/>
    <mergeCell ref="S39:T39"/>
    <mergeCell ref="U39:V39"/>
    <mergeCell ref="W39:X39"/>
    <mergeCell ref="Y39:Z39"/>
    <mergeCell ref="AA39:AB39"/>
    <mergeCell ref="E39:F39"/>
    <mergeCell ref="G39:H39"/>
    <mergeCell ref="I39:J39"/>
    <mergeCell ref="K39:L39"/>
    <mergeCell ref="M39:N39"/>
    <mergeCell ref="O39:P39"/>
    <mergeCell ref="Q40:R40"/>
    <mergeCell ref="S40:T40"/>
    <mergeCell ref="U40:V40"/>
    <mergeCell ref="W40:X40"/>
    <mergeCell ref="Y40:Z40"/>
    <mergeCell ref="AA40:AB40"/>
    <mergeCell ref="E40:F40"/>
    <mergeCell ref="G40:H40"/>
    <mergeCell ref="I40:J40"/>
    <mergeCell ref="K40:L40"/>
    <mergeCell ref="M40:N40"/>
    <mergeCell ref="O40:P40"/>
    <mergeCell ref="Q41:R41"/>
    <mergeCell ref="S41:T41"/>
    <mergeCell ref="U41:V41"/>
    <mergeCell ref="W41:X41"/>
    <mergeCell ref="Y41:Z41"/>
    <mergeCell ref="AA41:AB41"/>
    <mergeCell ref="E41:F41"/>
    <mergeCell ref="G41:H41"/>
    <mergeCell ref="I41:J41"/>
    <mergeCell ref="K41:L41"/>
    <mergeCell ref="M41:N41"/>
    <mergeCell ref="O41:P41"/>
  </mergeCells>
  <printOptions/>
  <pageMargins left="0.7" right="0.7" top="0.75" bottom="0.75" header="0.3" footer="0.3"/>
  <pageSetup horizontalDpi="600" verticalDpi="600" orientation="landscape" paperSize="8" r:id="rId3"/>
  <headerFooter>
    <oddHeader xml:space="preserve">&amp;CAlkuperäinen taulukko: STKL
Taulukon päivitys: Tapio Hernesniemi, Kpedu, Tietolinkki-hanke&amp;R10.1.2021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175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SUM(G6,G9:H13)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E4:AF4"/>
    <mergeCell ref="AG4:A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E7:AF7"/>
    <mergeCell ref="AG7:AH7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E28:AF28"/>
    <mergeCell ref="AG28:AH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E30:AF30"/>
    <mergeCell ref="AG30:AH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171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SUM(G6,G9:H13)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E4:AF4"/>
    <mergeCell ref="AG4:A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E7:AF7"/>
    <mergeCell ref="AG7:AH7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E28:AF28"/>
    <mergeCell ref="AG28:AH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E30:AF30"/>
    <mergeCell ref="AG30:AH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172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SUM(G6,G9:H13)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E4:AF4"/>
    <mergeCell ref="AG4:A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E7:AF7"/>
    <mergeCell ref="AG7:AH7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E28:AF28"/>
    <mergeCell ref="AG28:AH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E30:AF30"/>
    <mergeCell ref="AG30:AH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173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SUM(G6,G9:H13)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E4:AF4"/>
    <mergeCell ref="AG4:A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E7:AF7"/>
    <mergeCell ref="AG7:AH7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E28:AF28"/>
    <mergeCell ref="AG28:AH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E30:AF30"/>
    <mergeCell ref="AG30:AH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1">
      <selection activeCell="H1" sqref="H1"/>
    </sheetView>
  </sheetViews>
  <sheetFormatPr defaultColWidth="9.140625" defaultRowHeight="12.75"/>
  <sheetData>
    <row r="1" spans="1:34" ht="18">
      <c r="A1" s="97" t="s">
        <v>3</v>
      </c>
      <c r="B1" s="8"/>
      <c r="C1" s="8"/>
      <c r="D1" s="8"/>
      <c r="E1" s="9"/>
      <c r="F1" s="9"/>
      <c r="G1" s="98" t="s">
        <v>53</v>
      </c>
      <c r="H1" s="75" t="s">
        <v>174</v>
      </c>
      <c r="I1" s="9"/>
      <c r="J1" s="9"/>
      <c r="K1" s="9"/>
      <c r="L1" s="9"/>
      <c r="M1" s="9"/>
      <c r="N1" s="91" t="s">
        <v>4</v>
      </c>
      <c r="O1" s="182"/>
      <c r="P1" s="182"/>
      <c r="Q1" s="182"/>
      <c r="R1" s="182"/>
      <c r="S1" s="182"/>
      <c r="T1" s="9"/>
      <c r="U1" s="9"/>
      <c r="V1" s="9"/>
      <c r="W1" s="9"/>
      <c r="X1" s="9"/>
      <c r="Y1" s="9"/>
      <c r="Z1" s="9"/>
      <c r="AA1" s="9"/>
      <c r="AB1" s="9"/>
      <c r="AC1" s="9"/>
      <c r="AD1" s="31"/>
      <c r="AE1" s="66"/>
      <c r="AF1" s="27"/>
      <c r="AG1" s="27"/>
      <c r="AH1" s="27"/>
    </row>
    <row r="2" spans="1:34" ht="15">
      <c r="A2" s="7"/>
      <c r="B2" s="8"/>
      <c r="C2" s="8"/>
      <c r="D2" s="8"/>
      <c r="E2" s="9"/>
      <c r="F2" s="10"/>
      <c r="G2" s="10"/>
      <c r="H2" s="10"/>
      <c r="I2" s="9"/>
      <c r="J2" s="9"/>
      <c r="K2" s="9"/>
      <c r="L2" s="9"/>
      <c r="M2" s="9"/>
      <c r="N2" s="91" t="s">
        <v>5</v>
      </c>
      <c r="O2" s="183"/>
      <c r="P2" s="183"/>
      <c r="Q2" s="183"/>
      <c r="R2" s="183"/>
      <c r="S2" s="183"/>
      <c r="T2" s="9"/>
      <c r="U2" s="9"/>
      <c r="V2" s="9"/>
      <c r="W2" s="9"/>
      <c r="X2" s="9"/>
      <c r="Y2" s="9"/>
      <c r="Z2" s="9"/>
      <c r="AA2" s="9"/>
      <c r="AB2" s="9"/>
      <c r="AC2" s="9"/>
      <c r="AD2" s="31"/>
      <c r="AE2" s="66"/>
      <c r="AF2" s="27"/>
      <c r="AG2" s="27"/>
      <c r="AH2" s="27"/>
    </row>
    <row r="3" spans="1:34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1"/>
      <c r="AE3" s="27"/>
      <c r="AF3" s="27"/>
      <c r="AG3" s="27"/>
      <c r="AH3" s="27"/>
    </row>
    <row r="4" spans="1:34" ht="15" thickBot="1">
      <c r="A4" s="11"/>
      <c r="B4" s="11"/>
      <c r="C4" s="11"/>
      <c r="D4" s="58"/>
      <c r="E4" s="184" t="s">
        <v>6</v>
      </c>
      <c r="F4" s="176"/>
      <c r="G4" s="175" t="s">
        <v>7</v>
      </c>
      <c r="H4" s="176"/>
      <c r="I4" s="175" t="s">
        <v>8</v>
      </c>
      <c r="J4" s="176"/>
      <c r="K4" s="175" t="s">
        <v>9</v>
      </c>
      <c r="L4" s="176"/>
      <c r="M4" s="175" t="s">
        <v>10</v>
      </c>
      <c r="N4" s="176"/>
      <c r="O4" s="175" t="s">
        <v>11</v>
      </c>
      <c r="P4" s="176"/>
      <c r="Q4" s="175" t="s">
        <v>12</v>
      </c>
      <c r="R4" s="176"/>
      <c r="S4" s="175" t="s">
        <v>13</v>
      </c>
      <c r="T4" s="176"/>
      <c r="U4" s="175" t="s">
        <v>14</v>
      </c>
      <c r="V4" s="176"/>
      <c r="W4" s="175" t="s">
        <v>15</v>
      </c>
      <c r="X4" s="176"/>
      <c r="Y4" s="175" t="s">
        <v>16</v>
      </c>
      <c r="Z4" s="176"/>
      <c r="AA4" s="175" t="s">
        <v>17</v>
      </c>
      <c r="AB4" s="177"/>
      <c r="AC4" s="92" t="s">
        <v>178</v>
      </c>
      <c r="AD4" s="51"/>
      <c r="AE4" s="178" t="s">
        <v>177</v>
      </c>
      <c r="AF4" s="179"/>
      <c r="AG4" s="180" t="s">
        <v>176</v>
      </c>
      <c r="AH4" s="181"/>
    </row>
    <row r="5" spans="1:34" ht="15.75" thickTop="1">
      <c r="A5" s="93" t="s">
        <v>18</v>
      </c>
      <c r="B5" s="4"/>
      <c r="C5" s="13"/>
      <c r="D5" s="13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4"/>
      <c r="AD5" s="31"/>
      <c r="AE5" s="174"/>
      <c r="AF5" s="174"/>
      <c r="AG5" s="67"/>
      <c r="AH5" s="68"/>
    </row>
    <row r="6" spans="1:34" ht="12.75">
      <c r="A6" s="2" t="s">
        <v>19</v>
      </c>
      <c r="B6" s="2"/>
      <c r="C6" s="11"/>
      <c r="D6" s="58"/>
      <c r="E6" s="173">
        <f>(E7*E8)+(F7*F8)</f>
        <v>0</v>
      </c>
      <c r="F6" s="173"/>
      <c r="G6" s="173">
        <f>(G7*G8)+(H7*H8)</f>
        <v>0</v>
      </c>
      <c r="H6" s="173"/>
      <c r="I6" s="173">
        <f>(I7*I8)+(J7*J8)</f>
        <v>0</v>
      </c>
      <c r="J6" s="173"/>
      <c r="K6" s="173">
        <f>(K7*K8)+(L7*L8)</f>
        <v>0</v>
      </c>
      <c r="L6" s="173"/>
      <c r="M6" s="173">
        <f>(M7*M8)+(N7*N8)</f>
        <v>0</v>
      </c>
      <c r="N6" s="173"/>
      <c r="O6" s="173">
        <f>(O7*O8)+(P7*P8)</f>
        <v>0</v>
      </c>
      <c r="P6" s="173"/>
      <c r="Q6" s="173">
        <f>(Q7*Q8)+(R7*R8)</f>
        <v>0</v>
      </c>
      <c r="R6" s="173"/>
      <c r="S6" s="173">
        <f>(S7*S8)+(T7*T8)</f>
        <v>0</v>
      </c>
      <c r="T6" s="173"/>
      <c r="U6" s="173">
        <f>(U7*U8)+(V7*V8)</f>
        <v>0</v>
      </c>
      <c r="V6" s="173"/>
      <c r="W6" s="173">
        <f>(W7*W8)+(X7*X8)</f>
        <v>0</v>
      </c>
      <c r="X6" s="173"/>
      <c r="Y6" s="173">
        <f>(Y7*Y8)+(Z7*Z8)</f>
        <v>0</v>
      </c>
      <c r="Z6" s="173"/>
      <c r="AA6" s="173">
        <f>(AA7*AA8)+(AB7*AB8)</f>
        <v>0</v>
      </c>
      <c r="AB6" s="173"/>
      <c r="AC6" s="37">
        <f>SUM(E6:AB6)</f>
        <v>0</v>
      </c>
      <c r="AD6" s="52"/>
      <c r="AE6" s="151"/>
      <c r="AF6" s="151"/>
      <c r="AG6" s="148"/>
      <c r="AH6" s="149"/>
    </row>
    <row r="7" spans="1:34" ht="12.75">
      <c r="A7" s="23"/>
      <c r="B7" s="5" t="s">
        <v>20</v>
      </c>
      <c r="C7" s="15"/>
      <c r="D7" s="59"/>
      <c r="E7" s="16"/>
      <c r="F7" s="17"/>
      <c r="G7" s="18"/>
      <c r="H7" s="18"/>
      <c r="I7" s="19"/>
      <c r="J7" s="19"/>
      <c r="K7" s="18"/>
      <c r="L7" s="18"/>
      <c r="M7" s="19"/>
      <c r="N7" s="19"/>
      <c r="O7" s="18"/>
      <c r="P7" s="18"/>
      <c r="Q7" s="19"/>
      <c r="R7" s="19"/>
      <c r="S7" s="18"/>
      <c r="T7" s="18"/>
      <c r="U7" s="19"/>
      <c r="V7" s="19"/>
      <c r="W7" s="18"/>
      <c r="X7" s="18"/>
      <c r="Y7" s="19"/>
      <c r="Z7" s="20"/>
      <c r="AA7" s="21"/>
      <c r="AB7" s="22"/>
      <c r="AC7" s="37">
        <f>SUM(E7:AB7)</f>
        <v>0</v>
      </c>
      <c r="AD7" s="52"/>
      <c r="AE7" s="171"/>
      <c r="AF7" s="172"/>
      <c r="AG7" s="171"/>
      <c r="AH7" s="172"/>
    </row>
    <row r="8" spans="1:34" ht="12.75">
      <c r="A8" s="23"/>
      <c r="B8" s="5" t="s">
        <v>21</v>
      </c>
      <c r="C8" s="15"/>
      <c r="D8" s="59"/>
      <c r="E8" s="16"/>
      <c r="F8" s="17"/>
      <c r="G8" s="18"/>
      <c r="H8" s="18"/>
      <c r="I8" s="19"/>
      <c r="J8" s="19"/>
      <c r="K8" s="18"/>
      <c r="L8" s="18"/>
      <c r="M8" s="19"/>
      <c r="N8" s="19"/>
      <c r="O8" s="18"/>
      <c r="P8" s="18"/>
      <c r="Q8" s="19"/>
      <c r="R8" s="19"/>
      <c r="S8" s="18"/>
      <c r="T8" s="18"/>
      <c r="U8" s="19"/>
      <c r="V8" s="19"/>
      <c r="W8" s="18"/>
      <c r="X8" s="18"/>
      <c r="Y8" s="19"/>
      <c r="Z8" s="20"/>
      <c r="AA8" s="21"/>
      <c r="AB8" s="22"/>
      <c r="AC8" s="44"/>
      <c r="AD8" s="53"/>
      <c r="AE8" s="171"/>
      <c r="AF8" s="172"/>
      <c r="AG8" s="171"/>
      <c r="AH8" s="172"/>
    </row>
    <row r="9" spans="1:34" ht="12.75">
      <c r="A9" s="2" t="s">
        <v>22</v>
      </c>
      <c r="B9" s="2"/>
      <c r="C9" s="11"/>
      <c r="D9" s="58"/>
      <c r="E9" s="145"/>
      <c r="F9" s="150"/>
      <c r="G9" s="164"/>
      <c r="H9" s="165"/>
      <c r="I9" s="167"/>
      <c r="J9" s="150"/>
      <c r="K9" s="164"/>
      <c r="L9" s="165"/>
      <c r="M9" s="167"/>
      <c r="N9" s="150"/>
      <c r="O9" s="164"/>
      <c r="P9" s="165"/>
      <c r="Q9" s="167"/>
      <c r="R9" s="150"/>
      <c r="S9" s="164"/>
      <c r="T9" s="165"/>
      <c r="U9" s="167"/>
      <c r="V9" s="150"/>
      <c r="W9" s="164"/>
      <c r="X9" s="165"/>
      <c r="Y9" s="167"/>
      <c r="Z9" s="150"/>
      <c r="AA9" s="164"/>
      <c r="AB9" s="166"/>
      <c r="AC9" s="37">
        <f>SUM(E9:AB9)</f>
        <v>0</v>
      </c>
      <c r="AD9" s="52"/>
      <c r="AE9" s="151"/>
      <c r="AF9" s="151"/>
      <c r="AG9" s="148"/>
      <c r="AH9" s="149"/>
    </row>
    <row r="10" spans="1:34" ht="12.75">
      <c r="A10" s="2" t="s">
        <v>23</v>
      </c>
      <c r="B10" s="2"/>
      <c r="C10" s="11"/>
      <c r="D10" s="58"/>
      <c r="E10" s="145"/>
      <c r="F10" s="150"/>
      <c r="G10" s="164"/>
      <c r="H10" s="165"/>
      <c r="I10" s="167"/>
      <c r="J10" s="150"/>
      <c r="K10" s="164"/>
      <c r="L10" s="165"/>
      <c r="M10" s="167"/>
      <c r="N10" s="150"/>
      <c r="O10" s="164"/>
      <c r="P10" s="165"/>
      <c r="Q10" s="167"/>
      <c r="R10" s="150"/>
      <c r="S10" s="164"/>
      <c r="T10" s="165"/>
      <c r="U10" s="167"/>
      <c r="V10" s="150"/>
      <c r="W10" s="164"/>
      <c r="X10" s="165"/>
      <c r="Y10" s="167"/>
      <c r="Z10" s="150"/>
      <c r="AA10" s="164"/>
      <c r="AB10" s="166"/>
      <c r="AC10" s="37">
        <f>SUM(E10:AB10)</f>
        <v>0</v>
      </c>
      <c r="AD10" s="52"/>
      <c r="AE10" s="151"/>
      <c r="AF10" s="151"/>
      <c r="AG10" s="148"/>
      <c r="AH10" s="149"/>
    </row>
    <row r="11" spans="1:34" ht="12.75">
      <c r="A11" s="2" t="s">
        <v>24</v>
      </c>
      <c r="B11" s="2"/>
      <c r="C11" s="11"/>
      <c r="D11" s="58"/>
      <c r="E11" s="145"/>
      <c r="F11" s="150"/>
      <c r="G11" s="164"/>
      <c r="H11" s="165"/>
      <c r="I11" s="168" t="s">
        <v>179</v>
      </c>
      <c r="J11" s="169"/>
      <c r="K11" s="164"/>
      <c r="L11" s="165"/>
      <c r="M11" s="167"/>
      <c r="N11" s="150"/>
      <c r="O11" s="164"/>
      <c r="P11" s="165"/>
      <c r="Q11" s="167"/>
      <c r="R11" s="150"/>
      <c r="S11" s="164"/>
      <c r="T11" s="165"/>
      <c r="U11" s="167"/>
      <c r="V11" s="150"/>
      <c r="W11" s="164"/>
      <c r="X11" s="165"/>
      <c r="Y11" s="167"/>
      <c r="Z11" s="150"/>
      <c r="AA11" s="164"/>
      <c r="AB11" s="166"/>
      <c r="AC11" s="37">
        <f>SUM(E11:AB11)</f>
        <v>0</v>
      </c>
      <c r="AD11" s="52"/>
      <c r="AE11" s="151"/>
      <c r="AF11" s="151"/>
      <c r="AG11" s="148"/>
      <c r="AH11" s="149"/>
    </row>
    <row r="12" spans="1:34" ht="12.75">
      <c r="A12" s="2" t="s">
        <v>25</v>
      </c>
      <c r="B12" s="2"/>
      <c r="C12" s="11"/>
      <c r="D12" s="58"/>
      <c r="E12" s="145"/>
      <c r="F12" s="150"/>
      <c r="G12" s="164"/>
      <c r="H12" s="165"/>
      <c r="I12" s="137">
        <f>IF(E36&lt;0,-E36,0)</f>
        <v>0</v>
      </c>
      <c r="J12" s="137"/>
      <c r="K12" s="137">
        <f>IF(G36&lt;0,-G36,0)</f>
        <v>0</v>
      </c>
      <c r="L12" s="137"/>
      <c r="M12" s="137">
        <f>IF(I36&lt;0,-I36,0)</f>
        <v>0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0</v>
      </c>
      <c r="T12" s="137"/>
      <c r="U12" s="137">
        <f>IF(Q36&lt;0,-Q36,0)</f>
        <v>0</v>
      </c>
      <c r="V12" s="137"/>
      <c r="W12" s="137">
        <f>IF(S36&lt;0,-S36,0)</f>
        <v>0</v>
      </c>
      <c r="X12" s="137"/>
      <c r="Y12" s="137">
        <f>IF(U36&lt;0,-U36,0)</f>
        <v>0</v>
      </c>
      <c r="Z12" s="137"/>
      <c r="AA12" s="137">
        <f>IF(W36&lt;0,-W36,0)</f>
        <v>0</v>
      </c>
      <c r="AB12" s="138"/>
      <c r="AC12" s="37">
        <f>SUM(E12:AB12)</f>
        <v>0</v>
      </c>
      <c r="AD12" s="52"/>
      <c r="AE12" s="24"/>
      <c r="AF12" s="24"/>
      <c r="AG12" s="24"/>
      <c r="AH12" s="39"/>
    </row>
    <row r="13" spans="1:34" ht="13.5" thickBot="1">
      <c r="A13" s="2" t="s">
        <v>26</v>
      </c>
      <c r="B13" s="2"/>
      <c r="C13" s="11"/>
      <c r="D13" s="60"/>
      <c r="E13" s="163">
        <f>+(E6+E9)*24%</f>
        <v>0</v>
      </c>
      <c r="F13" s="133"/>
      <c r="G13" s="146">
        <f>+(G6+G9)*24%</f>
        <v>0</v>
      </c>
      <c r="H13" s="133"/>
      <c r="I13" s="146">
        <f>+(I6+I9)*24%</f>
        <v>0</v>
      </c>
      <c r="J13" s="133"/>
      <c r="K13" s="146">
        <f>+(K6+K9)*24%</f>
        <v>0</v>
      </c>
      <c r="L13" s="133"/>
      <c r="M13" s="146">
        <f>+(M6+M9)*24%</f>
        <v>0</v>
      </c>
      <c r="N13" s="133"/>
      <c r="O13" s="146">
        <f>+(O6+O9)*24%</f>
        <v>0</v>
      </c>
      <c r="P13" s="133"/>
      <c r="Q13" s="146">
        <f>+(Q6+Q9)*24%</f>
        <v>0</v>
      </c>
      <c r="R13" s="133"/>
      <c r="S13" s="146">
        <f>+(S6+S9)*24%</f>
        <v>0</v>
      </c>
      <c r="T13" s="133"/>
      <c r="U13" s="146">
        <f>+(U6+U9)*24%</f>
        <v>0</v>
      </c>
      <c r="V13" s="133"/>
      <c r="W13" s="146">
        <f>+(W6+W9)*24%</f>
        <v>0</v>
      </c>
      <c r="X13" s="133"/>
      <c r="Y13" s="146">
        <f>+(Y6+Y9)*24%</f>
        <v>0</v>
      </c>
      <c r="Z13" s="133"/>
      <c r="AA13" s="146">
        <f>+(AA6+AA9)*24%</f>
        <v>0</v>
      </c>
      <c r="AB13" s="133"/>
      <c r="AC13" s="45">
        <f>SUM(E13:AB13)</f>
        <v>0</v>
      </c>
      <c r="AD13" s="52"/>
      <c r="AE13" s="72"/>
      <c r="AF13" s="25"/>
      <c r="AG13" s="25"/>
      <c r="AH13" s="25"/>
    </row>
    <row r="14" spans="1:34" ht="13.5" thickTop="1">
      <c r="A14" s="4" t="s">
        <v>27</v>
      </c>
      <c r="B14" s="4"/>
      <c r="C14" s="13"/>
      <c r="D14" s="61"/>
      <c r="E14" s="159">
        <f>SUM(G6,G9:H13)</f>
        <v>0</v>
      </c>
      <c r="F14" s="160"/>
      <c r="G14" s="159">
        <f>SUM(G6,G9:H13)</f>
        <v>0</v>
      </c>
      <c r="H14" s="160"/>
      <c r="I14" s="159">
        <f>SUM(I6,I9:N13)</f>
        <v>0</v>
      </c>
      <c r="J14" s="160"/>
      <c r="K14" s="159">
        <f>SUM(K6,K9:L13)</f>
        <v>0</v>
      </c>
      <c r="L14" s="160"/>
      <c r="M14" s="159">
        <f>SUM(M6,M9:N13)</f>
        <v>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0</v>
      </c>
      <c r="T14" s="160"/>
      <c r="U14" s="159">
        <f>SUM(U6,U9:V13)</f>
        <v>0</v>
      </c>
      <c r="V14" s="160"/>
      <c r="W14" s="159">
        <f>SUM(W6,W9:X13)</f>
        <v>0</v>
      </c>
      <c r="X14" s="160"/>
      <c r="Y14" s="159">
        <f>SUM(Y6,Y9:Z13)</f>
        <v>0</v>
      </c>
      <c r="Z14" s="160"/>
      <c r="AA14" s="161">
        <f>SUM(AA6,AA9:AB13)</f>
        <v>0</v>
      </c>
      <c r="AB14" s="162"/>
      <c r="AC14" s="46">
        <f>SUM(AC6,AC9:AC13)</f>
        <v>0</v>
      </c>
      <c r="AD14" s="54"/>
      <c r="AE14" s="73"/>
      <c r="AF14" s="24"/>
      <c r="AG14" s="24"/>
      <c r="AH14" s="24"/>
    </row>
    <row r="15" spans="1:34" ht="12.75">
      <c r="A15" s="11"/>
      <c r="B15" s="11"/>
      <c r="C15" s="11"/>
      <c r="D15" s="11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27"/>
      <c r="AD15" s="30"/>
      <c r="AE15" s="38"/>
      <c r="AF15" s="38"/>
      <c r="AG15" s="38"/>
      <c r="AH15" s="38"/>
    </row>
    <row r="16" spans="1:34" ht="12.75">
      <c r="A16" s="11"/>
      <c r="B16" s="11"/>
      <c r="C16" s="11"/>
      <c r="D16" s="11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27"/>
      <c r="AD16" s="30"/>
      <c r="AE16" s="38"/>
      <c r="AF16" s="38"/>
      <c r="AG16" s="38"/>
      <c r="AH16" s="38"/>
    </row>
    <row r="17" spans="1:34" ht="15">
      <c r="A17" s="93" t="s">
        <v>28</v>
      </c>
      <c r="B17" s="4"/>
      <c r="C17" s="13"/>
      <c r="D17" s="1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27"/>
      <c r="AD17" s="30"/>
      <c r="AE17" s="74"/>
      <c r="AF17" s="38"/>
      <c r="AG17" s="38"/>
      <c r="AH17" s="38"/>
    </row>
    <row r="18" spans="1:34" ht="15">
      <c r="A18" s="94" t="s">
        <v>29</v>
      </c>
      <c r="C18" s="13"/>
      <c r="D18" s="65"/>
      <c r="E18" s="137">
        <f>+$D$18*1.6%</f>
        <v>0</v>
      </c>
      <c r="F18" s="137"/>
      <c r="G18" s="158">
        <f>+$D$18*1.6%</f>
        <v>0</v>
      </c>
      <c r="H18" s="136"/>
      <c r="I18" s="137">
        <f>+$D$18*2%</f>
        <v>0</v>
      </c>
      <c r="J18" s="137"/>
      <c r="K18" s="137">
        <f>+$D$18*1.7%</f>
        <v>0</v>
      </c>
      <c r="L18" s="137"/>
      <c r="M18" s="137">
        <f>+$D$18*2.6%</f>
        <v>0</v>
      </c>
      <c r="N18" s="137"/>
      <c r="O18" s="137">
        <f>+$D$18*5.7%</f>
        <v>0</v>
      </c>
      <c r="P18" s="137"/>
      <c r="Q18" s="137">
        <f>+$D$18*11.8%</f>
        <v>0</v>
      </c>
      <c r="R18" s="137"/>
      <c r="S18" s="137">
        <f>+$D$18*17.4%</f>
        <v>0</v>
      </c>
      <c r="T18" s="137"/>
      <c r="U18" s="137">
        <f>+$D$18*19.3%</f>
        <v>0</v>
      </c>
      <c r="V18" s="137"/>
      <c r="W18" s="137">
        <f>+$D$18*19%</f>
        <v>0</v>
      </c>
      <c r="X18" s="137"/>
      <c r="Y18" s="137">
        <f>+$D$18*13.8%</f>
        <v>0</v>
      </c>
      <c r="Z18" s="137"/>
      <c r="AA18" s="137">
        <f>+$D$18*3.5%</f>
        <v>0</v>
      </c>
      <c r="AB18" s="138"/>
      <c r="AC18" s="6">
        <f>SUM(E18:AB18)</f>
        <v>0</v>
      </c>
      <c r="AD18" s="30"/>
      <c r="AE18" s="74"/>
      <c r="AF18" s="38"/>
      <c r="AG18" s="38"/>
      <c r="AH18" s="38"/>
    </row>
    <row r="19" spans="1:34" ht="15">
      <c r="A19" s="94" t="s">
        <v>30</v>
      </c>
      <c r="C19" s="11"/>
      <c r="D19" s="58"/>
      <c r="E19" s="145"/>
      <c r="F19" s="145"/>
      <c r="G19" s="143"/>
      <c r="H19" s="143"/>
      <c r="I19" s="145"/>
      <c r="J19" s="145"/>
      <c r="K19" s="143"/>
      <c r="L19" s="143"/>
      <c r="M19" s="145"/>
      <c r="N19" s="145"/>
      <c r="O19" s="143"/>
      <c r="P19" s="143"/>
      <c r="Q19" s="145"/>
      <c r="R19" s="145"/>
      <c r="S19" s="143"/>
      <c r="T19" s="143"/>
      <c r="U19" s="145"/>
      <c r="V19" s="145"/>
      <c r="W19" s="143"/>
      <c r="X19" s="143"/>
      <c r="Y19" s="145"/>
      <c r="Z19" s="145"/>
      <c r="AA19" s="143"/>
      <c r="AB19" s="144"/>
      <c r="AC19" s="47">
        <f>SUM(E19:AB19)</f>
        <v>0</v>
      </c>
      <c r="AD19" s="55"/>
      <c r="AE19" s="151"/>
      <c r="AF19" s="151"/>
      <c r="AG19" s="148"/>
      <c r="AH19" s="149"/>
    </row>
    <row r="20" spans="1:34" ht="15">
      <c r="A20" s="94" t="s">
        <v>31</v>
      </c>
      <c r="C20" s="11"/>
      <c r="D20" s="58"/>
      <c r="E20" s="145"/>
      <c r="F20" s="145"/>
      <c r="G20" s="143"/>
      <c r="H20" s="143"/>
      <c r="I20" s="142"/>
      <c r="J20" s="142"/>
      <c r="K20" s="143"/>
      <c r="L20" s="143"/>
      <c r="M20" s="142"/>
      <c r="N20" s="142"/>
      <c r="O20" s="143"/>
      <c r="P20" s="143"/>
      <c r="Q20" s="142"/>
      <c r="R20" s="142"/>
      <c r="S20" s="143"/>
      <c r="T20" s="143"/>
      <c r="U20" s="142"/>
      <c r="V20" s="142"/>
      <c r="W20" s="143"/>
      <c r="X20" s="143"/>
      <c r="Y20" s="142"/>
      <c r="Z20" s="142"/>
      <c r="AA20" s="143"/>
      <c r="AB20" s="144"/>
      <c r="AC20" s="47">
        <f aca="true" t="shared" si="0" ref="AC20:AC31">SUM(E20:AB20)</f>
        <v>0</v>
      </c>
      <c r="AD20" s="55"/>
      <c r="AE20" s="151"/>
      <c r="AF20" s="151"/>
      <c r="AG20" s="148"/>
      <c r="AH20" s="149"/>
    </row>
    <row r="21" spans="1:34" ht="15">
      <c r="A21" s="94" t="s">
        <v>32</v>
      </c>
      <c r="C21" s="11"/>
      <c r="D21" s="58"/>
      <c r="E21" s="145"/>
      <c r="F21" s="145"/>
      <c r="G21" s="143"/>
      <c r="H21" s="143"/>
      <c r="I21" s="142"/>
      <c r="J21" s="142"/>
      <c r="K21" s="143"/>
      <c r="L21" s="143"/>
      <c r="M21" s="142"/>
      <c r="N21" s="142"/>
      <c r="O21" s="143"/>
      <c r="P21" s="143"/>
      <c r="Q21" s="142"/>
      <c r="R21" s="142"/>
      <c r="S21" s="143"/>
      <c r="T21" s="143"/>
      <c r="U21" s="142"/>
      <c r="V21" s="142"/>
      <c r="W21" s="143"/>
      <c r="X21" s="143"/>
      <c r="Y21" s="142"/>
      <c r="Z21" s="142"/>
      <c r="AA21" s="143"/>
      <c r="AB21" s="144"/>
      <c r="AC21" s="47">
        <f t="shared" si="0"/>
        <v>0</v>
      </c>
      <c r="AD21" s="55"/>
      <c r="AE21" s="151"/>
      <c r="AF21" s="151"/>
      <c r="AG21" s="148"/>
      <c r="AH21" s="149"/>
    </row>
    <row r="22" spans="1:34" ht="15">
      <c r="A22" s="95" t="s">
        <v>33</v>
      </c>
      <c r="C22" s="11"/>
      <c r="D22" s="58"/>
      <c r="E22" s="145"/>
      <c r="F22" s="145"/>
      <c r="G22" s="143"/>
      <c r="H22" s="143"/>
      <c r="I22" s="142"/>
      <c r="J22" s="142"/>
      <c r="K22" s="143"/>
      <c r="L22" s="143"/>
      <c r="M22" s="142"/>
      <c r="N22" s="142"/>
      <c r="O22" s="143"/>
      <c r="P22" s="143"/>
      <c r="Q22" s="142"/>
      <c r="R22" s="142"/>
      <c r="S22" s="143"/>
      <c r="T22" s="143"/>
      <c r="U22" s="142"/>
      <c r="V22" s="142"/>
      <c r="W22" s="143"/>
      <c r="X22" s="143"/>
      <c r="Y22" s="142"/>
      <c r="Z22" s="142"/>
      <c r="AA22" s="143"/>
      <c r="AB22" s="144"/>
      <c r="AC22" s="47">
        <f t="shared" si="0"/>
        <v>0</v>
      </c>
      <c r="AD22" s="55"/>
      <c r="AE22" s="151"/>
      <c r="AF22" s="151"/>
      <c r="AG22" s="148"/>
      <c r="AH22" s="149"/>
    </row>
    <row r="23" spans="1:34" ht="15">
      <c r="A23" s="95" t="s">
        <v>34</v>
      </c>
      <c r="C23" s="11"/>
      <c r="D23" s="60"/>
      <c r="E23" s="145"/>
      <c r="F23" s="145"/>
      <c r="G23" s="143"/>
      <c r="H23" s="143"/>
      <c r="I23" s="142"/>
      <c r="J23" s="142"/>
      <c r="K23" s="143"/>
      <c r="L23" s="143"/>
      <c r="M23" s="142"/>
      <c r="N23" s="142"/>
      <c r="O23" s="143"/>
      <c r="P23" s="143"/>
      <c r="Q23" s="142"/>
      <c r="R23" s="142"/>
      <c r="S23" s="143"/>
      <c r="T23" s="143"/>
      <c r="U23" s="142"/>
      <c r="V23" s="142"/>
      <c r="W23" s="143"/>
      <c r="X23" s="143"/>
      <c r="Y23" s="142"/>
      <c r="Z23" s="142"/>
      <c r="AA23" s="143"/>
      <c r="AB23" s="144"/>
      <c r="AC23" s="47">
        <f t="shared" si="0"/>
        <v>0</v>
      </c>
      <c r="AD23" s="55"/>
      <c r="AE23" s="155"/>
      <c r="AF23" s="155"/>
      <c r="AG23" s="156"/>
      <c r="AH23" s="157"/>
    </row>
    <row r="24" spans="1:34" ht="15">
      <c r="A24" s="94" t="s">
        <v>35</v>
      </c>
      <c r="C24" s="11"/>
      <c r="D24" s="58"/>
      <c r="E24" s="145"/>
      <c r="F24" s="145"/>
      <c r="G24" s="143"/>
      <c r="H24" s="143"/>
      <c r="I24" s="142"/>
      <c r="J24" s="142"/>
      <c r="K24" s="143"/>
      <c r="L24" s="143"/>
      <c r="M24" s="142"/>
      <c r="N24" s="142"/>
      <c r="O24" s="143"/>
      <c r="P24" s="143"/>
      <c r="Q24" s="142"/>
      <c r="R24" s="142"/>
      <c r="S24" s="143"/>
      <c r="T24" s="143"/>
      <c r="U24" s="142"/>
      <c r="V24" s="142"/>
      <c r="W24" s="143"/>
      <c r="X24" s="143"/>
      <c r="Y24" s="142"/>
      <c r="Z24" s="142"/>
      <c r="AA24" s="143"/>
      <c r="AB24" s="144"/>
      <c r="AC24" s="47">
        <f t="shared" si="0"/>
        <v>0</v>
      </c>
      <c r="AD24" s="55"/>
      <c r="AE24" s="151"/>
      <c r="AF24" s="151"/>
      <c r="AG24" s="148"/>
      <c r="AH24" s="149"/>
    </row>
    <row r="25" spans="1:34" ht="15">
      <c r="A25" s="94" t="s">
        <v>36</v>
      </c>
      <c r="C25" s="11"/>
      <c r="D25" s="58"/>
      <c r="E25" s="145"/>
      <c r="F25" s="145"/>
      <c r="G25" s="143"/>
      <c r="H25" s="143"/>
      <c r="I25" s="142"/>
      <c r="J25" s="142"/>
      <c r="K25" s="143"/>
      <c r="L25" s="143"/>
      <c r="M25" s="142"/>
      <c r="N25" s="142"/>
      <c r="O25" s="143"/>
      <c r="P25" s="143"/>
      <c r="Q25" s="142"/>
      <c r="R25" s="142"/>
      <c r="S25" s="143"/>
      <c r="T25" s="143"/>
      <c r="U25" s="142"/>
      <c r="V25" s="142"/>
      <c r="W25" s="143"/>
      <c r="X25" s="143"/>
      <c r="Y25" s="142"/>
      <c r="Z25" s="142"/>
      <c r="AA25" s="143"/>
      <c r="AB25" s="144"/>
      <c r="AC25" s="47">
        <f t="shared" si="0"/>
        <v>0</v>
      </c>
      <c r="AD25" s="55"/>
      <c r="AE25" s="151"/>
      <c r="AF25" s="151"/>
      <c r="AG25" s="148"/>
      <c r="AH25" s="149"/>
    </row>
    <row r="26" spans="1:34" ht="15">
      <c r="A26" s="94" t="s">
        <v>37</v>
      </c>
      <c r="C26" s="11"/>
      <c r="D26" s="58"/>
      <c r="E26" s="150"/>
      <c r="F26" s="142"/>
      <c r="G26" s="137">
        <f>+E26-E27+G10</f>
        <v>0</v>
      </c>
      <c r="H26" s="137"/>
      <c r="I26" s="137">
        <f>G26-G27+G10</f>
        <v>0</v>
      </c>
      <c r="J26" s="137"/>
      <c r="K26" s="137">
        <f>+I26-I27+K10</f>
        <v>0</v>
      </c>
      <c r="L26" s="137"/>
      <c r="M26" s="137">
        <f>+K26-K27+M10</f>
        <v>0</v>
      </c>
      <c r="N26" s="137"/>
      <c r="O26" s="137">
        <f>+M26-M27+O10</f>
        <v>0</v>
      </c>
      <c r="P26" s="137"/>
      <c r="Q26" s="137">
        <f>+O26-O27+Q10</f>
        <v>0</v>
      </c>
      <c r="R26" s="137"/>
      <c r="S26" s="137">
        <f>+Q26-Q27+S10</f>
        <v>0</v>
      </c>
      <c r="T26" s="137"/>
      <c r="U26" s="137">
        <f>+S26-S27+U10</f>
        <v>0</v>
      </c>
      <c r="V26" s="137"/>
      <c r="W26" s="137">
        <f>+U26-U27+W10</f>
        <v>0</v>
      </c>
      <c r="X26" s="137"/>
      <c r="Y26" s="137">
        <f>+W26-W27+Y10</f>
        <v>0</v>
      </c>
      <c r="Z26" s="137"/>
      <c r="AA26" s="137">
        <f>+Y26-Y27+AA10</f>
        <v>0</v>
      </c>
      <c r="AB26" s="138"/>
      <c r="AC26" s="47">
        <f>+AA26-AA27</f>
        <v>0</v>
      </c>
      <c r="AD26" s="56"/>
      <c r="AE26" s="151"/>
      <c r="AF26" s="151"/>
      <c r="AG26" s="148"/>
      <c r="AH26" s="149"/>
    </row>
    <row r="27" spans="2:34" ht="15">
      <c r="B27" s="94" t="s">
        <v>38</v>
      </c>
      <c r="C27" s="11"/>
      <c r="D27" s="58"/>
      <c r="E27" s="145"/>
      <c r="F27" s="145"/>
      <c r="G27" s="143"/>
      <c r="H27" s="143"/>
      <c r="I27" s="142"/>
      <c r="J27" s="142"/>
      <c r="K27" s="143"/>
      <c r="L27" s="143"/>
      <c r="M27" s="142"/>
      <c r="N27" s="142"/>
      <c r="O27" s="143"/>
      <c r="P27" s="143"/>
      <c r="Q27" s="142"/>
      <c r="R27" s="142"/>
      <c r="S27" s="143"/>
      <c r="T27" s="143"/>
      <c r="U27" s="142"/>
      <c r="V27" s="142"/>
      <c r="W27" s="143"/>
      <c r="X27" s="143"/>
      <c r="Y27" s="142"/>
      <c r="Z27" s="142"/>
      <c r="AA27" s="143"/>
      <c r="AB27" s="144"/>
      <c r="AC27" s="47">
        <f>SUM(E27:AB27)</f>
        <v>0</v>
      </c>
      <c r="AD27" s="55"/>
      <c r="AE27" s="151"/>
      <c r="AF27" s="151"/>
      <c r="AG27" s="148"/>
      <c r="AH27" s="149"/>
    </row>
    <row r="28" spans="2:34" ht="15">
      <c r="B28" s="94" t="s">
        <v>39</v>
      </c>
      <c r="C28" s="29"/>
      <c r="D28" s="62">
        <v>0.05</v>
      </c>
      <c r="E28" s="136">
        <f>+($D$28*E26)/12</f>
        <v>0</v>
      </c>
      <c r="F28" s="137"/>
      <c r="G28" s="137">
        <f>+($D$28*I26)/12</f>
        <v>0</v>
      </c>
      <c r="H28" s="137"/>
      <c r="I28" s="137">
        <f>+($D$28*I26)/12</f>
        <v>0</v>
      </c>
      <c r="J28" s="137"/>
      <c r="K28" s="137">
        <f>+($D$28*K26)/12</f>
        <v>0</v>
      </c>
      <c r="L28" s="137"/>
      <c r="M28" s="137">
        <f>+($D$28*M26)/12</f>
        <v>0</v>
      </c>
      <c r="N28" s="137"/>
      <c r="O28" s="137">
        <f>+($D$28*O26)/12</f>
        <v>0</v>
      </c>
      <c r="P28" s="137"/>
      <c r="Q28" s="137">
        <f>+($D$28*Q26)/12</f>
        <v>0</v>
      </c>
      <c r="R28" s="137"/>
      <c r="S28" s="137">
        <f>+($D$28*S26)/12</f>
        <v>0</v>
      </c>
      <c r="T28" s="137"/>
      <c r="U28" s="137">
        <f>+($D$28*U26)/12</f>
        <v>0</v>
      </c>
      <c r="V28" s="137"/>
      <c r="W28" s="137">
        <f>+($D$28*W26)/12</f>
        <v>0</v>
      </c>
      <c r="X28" s="137"/>
      <c r="Y28" s="137">
        <f>+($D$28*Y26)/12</f>
        <v>0</v>
      </c>
      <c r="Z28" s="137"/>
      <c r="AA28" s="137">
        <f>+($D$28*AA26)/12</f>
        <v>0</v>
      </c>
      <c r="AB28" s="138"/>
      <c r="AC28" s="47">
        <f>SUM(E28:AB28)</f>
        <v>0</v>
      </c>
      <c r="AD28" s="55"/>
      <c r="AE28" s="154"/>
      <c r="AF28" s="154"/>
      <c r="AG28" s="152"/>
      <c r="AH28" s="153"/>
    </row>
    <row r="29" spans="1:34" ht="15">
      <c r="A29" s="94" t="s">
        <v>40</v>
      </c>
      <c r="C29" s="11"/>
      <c r="D29" s="58"/>
      <c r="E29" s="145"/>
      <c r="F29" s="145"/>
      <c r="G29" s="143"/>
      <c r="H29" s="143"/>
      <c r="I29" s="142"/>
      <c r="J29" s="142"/>
      <c r="K29" s="143"/>
      <c r="L29" s="143"/>
      <c r="M29" s="142"/>
      <c r="N29" s="142"/>
      <c r="O29" s="143"/>
      <c r="P29" s="143"/>
      <c r="Q29" s="142"/>
      <c r="R29" s="142"/>
      <c r="S29" s="143"/>
      <c r="T29" s="143"/>
      <c r="U29" s="142"/>
      <c r="V29" s="142"/>
      <c r="W29" s="143"/>
      <c r="X29" s="143"/>
      <c r="Y29" s="142"/>
      <c r="Z29" s="142"/>
      <c r="AA29" s="143"/>
      <c r="AB29" s="144"/>
      <c r="AC29" s="47">
        <f t="shared" si="0"/>
        <v>0</v>
      </c>
      <c r="AD29" s="55"/>
      <c r="AE29" s="151"/>
      <c r="AF29" s="151"/>
      <c r="AG29" s="148"/>
      <c r="AH29" s="149"/>
    </row>
    <row r="30" spans="1:34" ht="15">
      <c r="A30" s="94" t="s">
        <v>41</v>
      </c>
      <c r="C30" s="11"/>
      <c r="D30" s="58"/>
      <c r="E30" s="145"/>
      <c r="F30" s="145"/>
      <c r="G30" s="143"/>
      <c r="H30" s="143"/>
      <c r="I30" s="142"/>
      <c r="J30" s="142"/>
      <c r="K30" s="143"/>
      <c r="L30" s="143"/>
      <c r="M30" s="142"/>
      <c r="N30" s="142"/>
      <c r="O30" s="143"/>
      <c r="P30" s="143"/>
      <c r="Q30" s="142"/>
      <c r="R30" s="142"/>
      <c r="S30" s="143"/>
      <c r="T30" s="143"/>
      <c r="U30" s="142"/>
      <c r="V30" s="142"/>
      <c r="W30" s="143"/>
      <c r="X30" s="143"/>
      <c r="Y30" s="142"/>
      <c r="Z30" s="142"/>
      <c r="AA30" s="143"/>
      <c r="AB30" s="144"/>
      <c r="AC30" s="47">
        <f t="shared" si="0"/>
        <v>0</v>
      </c>
      <c r="AD30" s="55"/>
      <c r="AE30" s="151"/>
      <c r="AF30" s="151"/>
      <c r="AG30" s="148"/>
      <c r="AH30" s="149"/>
    </row>
    <row r="31" spans="1:34" ht="15">
      <c r="A31" s="94" t="s">
        <v>42</v>
      </c>
      <c r="C31" s="12"/>
      <c r="D31" s="58"/>
      <c r="E31" s="145"/>
      <c r="F31" s="145"/>
      <c r="G31" s="143"/>
      <c r="H31" s="143"/>
      <c r="I31" s="142"/>
      <c r="J31" s="142"/>
      <c r="K31" s="143"/>
      <c r="L31" s="143"/>
      <c r="M31" s="142"/>
      <c r="N31" s="142"/>
      <c r="O31" s="143"/>
      <c r="P31" s="143"/>
      <c r="Q31" s="142"/>
      <c r="R31" s="142"/>
      <c r="S31" s="143"/>
      <c r="T31" s="143"/>
      <c r="U31" s="142"/>
      <c r="V31" s="142"/>
      <c r="W31" s="143"/>
      <c r="X31" s="143"/>
      <c r="Y31" s="142"/>
      <c r="Z31" s="142"/>
      <c r="AA31" s="143"/>
      <c r="AB31" s="144"/>
      <c r="AC31" s="47">
        <f t="shared" si="0"/>
        <v>0</v>
      </c>
      <c r="AD31" s="55"/>
      <c r="AE31" s="151"/>
      <c r="AF31" s="151"/>
      <c r="AG31" s="148"/>
      <c r="AH31" s="149"/>
    </row>
    <row r="32" spans="1:34" ht="15">
      <c r="A32" s="94" t="s">
        <v>43</v>
      </c>
      <c r="C32" s="12"/>
      <c r="D32" s="58"/>
      <c r="E32" s="150"/>
      <c r="F32" s="142"/>
      <c r="G32" s="143"/>
      <c r="H32" s="143"/>
      <c r="I32" s="137">
        <f>IF(E36&gt;0,E36,0)</f>
        <v>0</v>
      </c>
      <c r="J32" s="137"/>
      <c r="K32" s="137">
        <f>IF(G36&gt;0,G36,0)</f>
        <v>0</v>
      </c>
      <c r="L32" s="137"/>
      <c r="M32" s="137">
        <f>IF(I36&gt;0,I36,0)</f>
        <v>0</v>
      </c>
      <c r="N32" s="137"/>
      <c r="O32" s="137">
        <f>IF(K36&gt;0,K36,0)</f>
        <v>0</v>
      </c>
      <c r="P32" s="137"/>
      <c r="Q32" s="137">
        <f>IF(M36&gt;0,M36,0)</f>
        <v>0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0</v>
      </c>
      <c r="X32" s="137"/>
      <c r="Y32" s="137">
        <f>IF(U36&gt;0,U36,0)</f>
        <v>0</v>
      </c>
      <c r="Z32" s="137"/>
      <c r="AA32" s="137">
        <f>IF(W36&gt;0,W36,0)</f>
        <v>0</v>
      </c>
      <c r="AB32" s="138"/>
      <c r="AC32" s="48">
        <f>SUM(E32:AB32)</f>
        <v>0</v>
      </c>
      <c r="AD32" s="55"/>
      <c r="AE32" s="30"/>
      <c r="AF32" s="30"/>
      <c r="AG32" s="30"/>
      <c r="AH32" s="40"/>
    </row>
    <row r="33" spans="1:34" ht="15.75" thickBot="1">
      <c r="A33" s="94" t="s">
        <v>44</v>
      </c>
      <c r="C33" s="28"/>
      <c r="D33" s="60"/>
      <c r="E33" s="133">
        <f>E19*14%+(E20+E25+E30)*24%</f>
        <v>0</v>
      </c>
      <c r="F33" s="134"/>
      <c r="G33" s="146">
        <f>G19*14%+(G20+G25+G30)*24%</f>
        <v>0</v>
      </c>
      <c r="H33" s="133"/>
      <c r="I33" s="146">
        <f>I19*14%+(I20+I25+I30)*24%</f>
        <v>0</v>
      </c>
      <c r="J33" s="133"/>
      <c r="K33" s="146">
        <f>K19*14%+(K20+K25+K30)*24%</f>
        <v>0</v>
      </c>
      <c r="L33" s="133"/>
      <c r="M33" s="146">
        <f>M19*14%+(M20+M25+M30)*24%</f>
        <v>0</v>
      </c>
      <c r="N33" s="133"/>
      <c r="O33" s="133">
        <f>O19*14%+(O20+O25+O30)*24%</f>
        <v>0</v>
      </c>
      <c r="P33" s="133"/>
      <c r="Q33" s="133">
        <f>Q19*14%+(Q20+Q25+Q30)*24%</f>
        <v>0</v>
      </c>
      <c r="R33" s="134"/>
      <c r="S33" s="146">
        <f>S19*14%+(S20+S25+S30)*24%</f>
        <v>0</v>
      </c>
      <c r="T33" s="133"/>
      <c r="U33" s="146">
        <f>U19*14%+(U20+U25+U30)*24%</f>
        <v>0</v>
      </c>
      <c r="V33" s="133"/>
      <c r="W33" s="146">
        <f>W19*14%+(W20+W25+W30)*24%</f>
        <v>0</v>
      </c>
      <c r="X33" s="133"/>
      <c r="Y33" s="146">
        <f>Y19*14%+(Y20+Y25+Y30)*24%</f>
        <v>0</v>
      </c>
      <c r="Z33" s="133"/>
      <c r="AA33" s="134">
        <f>AA19*14%+(AA20+AA25+AA30)*24%</f>
        <v>0</v>
      </c>
      <c r="AB33" s="147"/>
      <c r="AC33" s="49">
        <f>SUM(E33:AB33)</f>
        <v>0</v>
      </c>
      <c r="AD33" s="55"/>
      <c r="AE33" s="71"/>
      <c r="AF33" s="71"/>
      <c r="AG33" s="71"/>
      <c r="AH33" s="41"/>
    </row>
    <row r="34" spans="1:34" ht="15.75" thickTop="1">
      <c r="A34" s="96" t="s">
        <v>45</v>
      </c>
      <c r="C34" s="26"/>
      <c r="D34" s="61"/>
      <c r="E34" s="141">
        <f>SUM(E19:F25,E27:F33)</f>
        <v>0</v>
      </c>
      <c r="F34" s="131"/>
      <c r="G34" s="141">
        <f>SUM(K19:L25,K27:L33)</f>
        <v>0</v>
      </c>
      <c r="H34" s="131"/>
      <c r="I34" s="141">
        <f>SUM(I19:J25,I27:J33)</f>
        <v>0</v>
      </c>
      <c r="J34" s="131"/>
      <c r="K34" s="141">
        <f>SUM(K19:L25,K27:L33)</f>
        <v>0</v>
      </c>
      <c r="L34" s="131"/>
      <c r="M34" s="141">
        <f>SUM(M19:N25,M27:N33)</f>
        <v>0</v>
      </c>
      <c r="N34" s="131"/>
      <c r="O34" s="141">
        <f>SUM(O19:P25,O27:P33)</f>
        <v>0</v>
      </c>
      <c r="P34" s="131"/>
      <c r="Q34" s="141">
        <f>SUM(Q19:R25,Q27:R33)</f>
        <v>0</v>
      </c>
      <c r="R34" s="131"/>
      <c r="S34" s="141">
        <f>SUM(S19:T25,S27:T33)</f>
        <v>0</v>
      </c>
      <c r="T34" s="131"/>
      <c r="U34" s="141">
        <f>SUM(U19:V25,U27:V33)</f>
        <v>0</v>
      </c>
      <c r="V34" s="131"/>
      <c r="W34" s="141">
        <f>SUM(W19:X25,W27:X33)</f>
        <v>0</v>
      </c>
      <c r="X34" s="131"/>
      <c r="Y34" s="141">
        <f>SUM(Y19:Z25,Y27:Z33)</f>
        <v>0</v>
      </c>
      <c r="Z34" s="131"/>
      <c r="AA34" s="131">
        <f>SUM(AA19:AB25,AA27:AB33)</f>
        <v>0</v>
      </c>
      <c r="AB34" s="132"/>
      <c r="AC34" s="50">
        <f>SUM(AC19:AC25,AC27:AC33)</f>
        <v>0</v>
      </c>
      <c r="AD34" s="57"/>
      <c r="AE34" s="70"/>
      <c r="AF34" s="30"/>
      <c r="AG34" s="30"/>
      <c r="AH34" s="30"/>
    </row>
    <row r="35" spans="1:34" ht="12.75">
      <c r="A35" s="4"/>
      <c r="B35" s="4"/>
      <c r="C35" s="13"/>
      <c r="D35" s="13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30"/>
      <c r="AD35" s="30"/>
      <c r="AE35" s="70"/>
      <c r="AF35" s="30"/>
      <c r="AG35" s="30"/>
      <c r="AH35" s="30"/>
    </row>
    <row r="36" spans="1:34" ht="15">
      <c r="A36" s="94" t="s">
        <v>46</v>
      </c>
      <c r="B36" s="2"/>
      <c r="C36" s="11"/>
      <c r="D36" s="58"/>
      <c r="E36" s="136">
        <f>+E13-E33</f>
        <v>0</v>
      </c>
      <c r="F36" s="137"/>
      <c r="G36" s="137">
        <f>+G13-G33</f>
        <v>0</v>
      </c>
      <c r="H36" s="137"/>
      <c r="I36" s="137">
        <f>+I13-I33</f>
        <v>0</v>
      </c>
      <c r="J36" s="137"/>
      <c r="K36" s="137">
        <f>+K13-K33</f>
        <v>0</v>
      </c>
      <c r="L36" s="137"/>
      <c r="M36" s="137">
        <f>+M13-M33</f>
        <v>0</v>
      </c>
      <c r="N36" s="137"/>
      <c r="O36" s="137">
        <f>+O13-O33</f>
        <v>0</v>
      </c>
      <c r="P36" s="137"/>
      <c r="Q36" s="137">
        <f>+Q13-Q33</f>
        <v>0</v>
      </c>
      <c r="R36" s="137"/>
      <c r="S36" s="137">
        <f>+S13-S33</f>
        <v>0</v>
      </c>
      <c r="T36" s="137"/>
      <c r="U36" s="137">
        <f>+U13-U33</f>
        <v>0</v>
      </c>
      <c r="V36" s="137"/>
      <c r="W36" s="137">
        <f>+W13-W33</f>
        <v>0</v>
      </c>
      <c r="X36" s="137"/>
      <c r="Y36" s="137">
        <f>+Y13-Y33</f>
        <v>0</v>
      </c>
      <c r="Z36" s="137"/>
      <c r="AA36" s="137">
        <f>+AA13-AA33</f>
        <v>0</v>
      </c>
      <c r="AB36" s="138"/>
      <c r="AC36" s="30"/>
      <c r="AD36" s="30"/>
      <c r="AE36" s="27"/>
      <c r="AF36" s="30"/>
      <c r="AG36" s="30"/>
      <c r="AH36" s="30"/>
    </row>
    <row r="37" spans="1:34" ht="12.75">
      <c r="A37" s="2"/>
      <c r="B37" s="2"/>
      <c r="C37" s="11"/>
      <c r="D37" s="11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27"/>
      <c r="AD37" s="30"/>
      <c r="AE37" s="27"/>
      <c r="AF37" s="27"/>
      <c r="AG37" s="27"/>
      <c r="AH37" s="30"/>
    </row>
    <row r="38" spans="1:34" ht="15">
      <c r="A38" s="96" t="s">
        <v>47</v>
      </c>
      <c r="B38" s="4"/>
      <c r="C38" s="13"/>
      <c r="D38" s="61"/>
      <c r="E38" s="136"/>
      <c r="F38" s="137"/>
      <c r="G38" s="136">
        <f>+E41</f>
        <v>0</v>
      </c>
      <c r="H38" s="137"/>
      <c r="I38" s="136">
        <f>+G41</f>
        <v>0</v>
      </c>
      <c r="J38" s="137"/>
      <c r="K38" s="136">
        <f>+I41</f>
        <v>0</v>
      </c>
      <c r="L38" s="137"/>
      <c r="M38" s="136">
        <f>+K41</f>
        <v>0</v>
      </c>
      <c r="N38" s="137"/>
      <c r="O38" s="136">
        <f>+M41</f>
        <v>0</v>
      </c>
      <c r="P38" s="137"/>
      <c r="Q38" s="136">
        <f>+O41</f>
        <v>0</v>
      </c>
      <c r="R38" s="137"/>
      <c r="S38" s="136">
        <f>+Q41</f>
        <v>0</v>
      </c>
      <c r="T38" s="137"/>
      <c r="U38" s="136">
        <f>+S41</f>
        <v>0</v>
      </c>
      <c r="V38" s="137"/>
      <c r="W38" s="136">
        <f>+U41</f>
        <v>0</v>
      </c>
      <c r="X38" s="137"/>
      <c r="Y38" s="136">
        <f>+W41</f>
        <v>0</v>
      </c>
      <c r="Z38" s="137"/>
      <c r="AA38" s="137">
        <f>+Y41</f>
        <v>0</v>
      </c>
      <c r="AB38" s="138"/>
      <c r="AC38" s="30"/>
      <c r="AD38" s="30"/>
      <c r="AE38" s="69"/>
      <c r="AF38" s="30"/>
      <c r="AG38" s="30"/>
      <c r="AH38" s="30"/>
    </row>
    <row r="39" spans="1:34" ht="15">
      <c r="A39" s="94" t="s">
        <v>48</v>
      </c>
      <c r="B39" s="2"/>
      <c r="C39" s="11"/>
      <c r="D39" s="58"/>
      <c r="E39" s="136">
        <f>+E14</f>
        <v>0</v>
      </c>
      <c r="F39" s="137"/>
      <c r="G39" s="137">
        <f>+G14</f>
        <v>0</v>
      </c>
      <c r="H39" s="137"/>
      <c r="I39" s="137">
        <f>+I14</f>
        <v>0</v>
      </c>
      <c r="J39" s="137"/>
      <c r="K39" s="137">
        <f>+K14</f>
        <v>0</v>
      </c>
      <c r="L39" s="137"/>
      <c r="M39" s="137">
        <f>+M14</f>
        <v>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0</v>
      </c>
      <c r="T39" s="137"/>
      <c r="U39" s="137">
        <f>+U14</f>
        <v>0</v>
      </c>
      <c r="V39" s="137"/>
      <c r="W39" s="137">
        <f>+W14</f>
        <v>0</v>
      </c>
      <c r="X39" s="137"/>
      <c r="Y39" s="137">
        <f>+Y14</f>
        <v>0</v>
      </c>
      <c r="Z39" s="137"/>
      <c r="AA39" s="137">
        <f>+AA14</f>
        <v>0</v>
      </c>
      <c r="AB39" s="138"/>
      <c r="AC39" s="30"/>
      <c r="AD39" s="30"/>
      <c r="AE39" s="30"/>
      <c r="AF39" s="30"/>
      <c r="AG39" s="30"/>
      <c r="AH39" s="30"/>
    </row>
    <row r="40" spans="1:34" ht="15.75" thickBot="1">
      <c r="A40" s="94" t="s">
        <v>49</v>
      </c>
      <c r="B40" s="2"/>
      <c r="C40" s="11"/>
      <c r="D40" s="58"/>
      <c r="E40" s="133">
        <f>-E34</f>
        <v>0</v>
      </c>
      <c r="F40" s="134"/>
      <c r="G40" s="134">
        <f>-G34</f>
        <v>0</v>
      </c>
      <c r="H40" s="134"/>
      <c r="I40" s="134">
        <f>-I34</f>
        <v>0</v>
      </c>
      <c r="J40" s="134"/>
      <c r="K40" s="134">
        <f>-K34</f>
        <v>0</v>
      </c>
      <c r="L40" s="134"/>
      <c r="M40" s="134">
        <f>-M34</f>
        <v>0</v>
      </c>
      <c r="N40" s="134"/>
      <c r="O40" s="134">
        <f>-O34</f>
        <v>0</v>
      </c>
      <c r="P40" s="134"/>
      <c r="Q40" s="134">
        <f>-Q34</f>
        <v>0</v>
      </c>
      <c r="R40" s="134"/>
      <c r="S40" s="134">
        <f>-S34</f>
        <v>0</v>
      </c>
      <c r="T40" s="134"/>
      <c r="U40" s="134">
        <f>-U34</f>
        <v>0</v>
      </c>
      <c r="V40" s="134"/>
      <c r="W40" s="134">
        <f>-W34</f>
        <v>0</v>
      </c>
      <c r="X40" s="134"/>
      <c r="Y40" s="134">
        <f>-Y34</f>
        <v>0</v>
      </c>
      <c r="Z40" s="134"/>
      <c r="AA40" s="134">
        <f>-AA34</f>
        <v>0</v>
      </c>
      <c r="AB40" s="135"/>
      <c r="AC40" s="30"/>
      <c r="AD40" s="30"/>
      <c r="AE40" s="30"/>
      <c r="AF40" s="30"/>
      <c r="AG40" s="30"/>
      <c r="AH40" s="30"/>
    </row>
    <row r="41" spans="1:34" ht="15.75" thickTop="1">
      <c r="A41" s="96" t="s">
        <v>50</v>
      </c>
      <c r="B41" s="4"/>
      <c r="C41" s="13"/>
      <c r="D41" s="63"/>
      <c r="E41" s="130">
        <f>SUM(E38:E40)</f>
        <v>0</v>
      </c>
      <c r="F41" s="130"/>
      <c r="G41" s="131">
        <f>SUM(G38:G40)</f>
        <v>0</v>
      </c>
      <c r="H41" s="131"/>
      <c r="I41" s="131">
        <f>SUM(I38:J40)</f>
        <v>0</v>
      </c>
      <c r="J41" s="131"/>
      <c r="K41" s="131">
        <f>SUM(K38:L40)</f>
        <v>0</v>
      </c>
      <c r="L41" s="131"/>
      <c r="M41" s="131">
        <f>SUM(M38:N40)</f>
        <v>0</v>
      </c>
      <c r="N41" s="131"/>
      <c r="O41" s="131">
        <f>SUM(O38:P40)</f>
        <v>0</v>
      </c>
      <c r="P41" s="131"/>
      <c r="Q41" s="131">
        <f>SUM(Q38:R40)</f>
        <v>0</v>
      </c>
      <c r="R41" s="131"/>
      <c r="S41" s="131">
        <f>SUM(S38:T40)</f>
        <v>0</v>
      </c>
      <c r="T41" s="131"/>
      <c r="U41" s="131">
        <f>SUM(U38:V40)</f>
        <v>0</v>
      </c>
      <c r="V41" s="131"/>
      <c r="W41" s="131">
        <f>SUM(W38:X40)</f>
        <v>0</v>
      </c>
      <c r="X41" s="131"/>
      <c r="Y41" s="131">
        <f>SUM(Y38:Z40)</f>
        <v>0</v>
      </c>
      <c r="Z41" s="131"/>
      <c r="AA41" s="131">
        <f>SUM(AA38:AB40)</f>
        <v>0</v>
      </c>
      <c r="AB41" s="132"/>
      <c r="AC41" s="30"/>
      <c r="AD41" s="30"/>
      <c r="AE41" s="69"/>
      <c r="AF41" s="30"/>
      <c r="AG41" s="30"/>
      <c r="AH41" s="27"/>
    </row>
    <row r="42" spans="1:34" ht="12.75">
      <c r="A42" s="11"/>
      <c r="B42" s="11"/>
      <c r="C42" s="11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1"/>
      <c r="AE42" s="30"/>
      <c r="AF42" s="30"/>
      <c r="AG42" s="30"/>
      <c r="AH42" s="27"/>
    </row>
    <row r="43" spans="1:34" ht="12.75">
      <c r="A43" s="9"/>
      <c r="B43" s="9"/>
      <c r="C43" s="9"/>
      <c r="D43" s="3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/>
      <c r="AE43" s="30"/>
      <c r="AF43" s="27"/>
      <c r="AG43" s="27"/>
      <c r="AH43" s="27"/>
    </row>
  </sheetData>
  <sheetProtection/>
  <mergeCells count="475">
    <mergeCell ref="O1:S1"/>
    <mergeCell ref="O2:S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E4:AF4"/>
    <mergeCell ref="AG4:AH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E6:AF6"/>
    <mergeCell ref="AG6:AH6"/>
    <mergeCell ref="AE7:AF7"/>
    <mergeCell ref="AG7:AH7"/>
    <mergeCell ref="AE8:AF8"/>
    <mergeCell ref="AG8:AH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E10:AF10"/>
    <mergeCell ref="AG10:AH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E22:AF22"/>
    <mergeCell ref="AG22:AH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E24:AF24"/>
    <mergeCell ref="AG24:AH24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E26:AF26"/>
    <mergeCell ref="AG26:AH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E28:AF28"/>
    <mergeCell ref="AG28:AH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E30:AF30"/>
    <mergeCell ref="AG30:AH30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zoomScalePageLayoutView="0" workbookViewId="0" topLeftCell="A22">
      <selection activeCell="P18" sqref="P18"/>
    </sheetView>
  </sheetViews>
  <sheetFormatPr defaultColWidth="9.140625" defaultRowHeight="15.75" customHeight="1"/>
  <cols>
    <col min="1" max="1" width="4.28125" style="36" customWidth="1"/>
    <col min="2" max="2" width="6.140625" style="33" customWidth="1"/>
    <col min="3" max="3" width="4.8515625" style="33" customWidth="1"/>
    <col min="4" max="4" width="16.8515625" style="33" customWidth="1"/>
    <col min="5" max="5" width="1.7109375" style="33" customWidth="1"/>
    <col min="6" max="16384" width="9.140625" style="33" customWidth="1"/>
  </cols>
  <sheetData>
    <row r="2" ht="15.75" customHeight="1">
      <c r="B2" s="32" t="s">
        <v>112</v>
      </c>
    </row>
    <row r="3" ht="15.75" customHeight="1">
      <c r="B3" s="34"/>
    </row>
    <row r="4" ht="15.75" customHeight="1">
      <c r="B4" s="34" t="s">
        <v>113</v>
      </c>
    </row>
    <row r="5" ht="15.75" customHeight="1">
      <c r="B5" s="101" t="s">
        <v>114</v>
      </c>
    </row>
    <row r="6" spans="2:12" ht="15.75" customHeight="1">
      <c r="B6" s="101" t="s">
        <v>115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2:6" ht="15.75" customHeight="1">
      <c r="B7" s="101" t="s">
        <v>116</v>
      </c>
      <c r="C7" s="101"/>
      <c r="D7" s="101"/>
      <c r="E7" s="101"/>
      <c r="F7" s="101"/>
    </row>
    <row r="9" ht="15.75" customHeight="1">
      <c r="B9" s="3" t="s">
        <v>55</v>
      </c>
    </row>
    <row r="10" spans="2:6" ht="15.75" customHeight="1">
      <c r="B10" s="2" t="s">
        <v>56</v>
      </c>
      <c r="E10" s="35" t="s">
        <v>0</v>
      </c>
      <c r="F10" s="99" t="s">
        <v>117</v>
      </c>
    </row>
    <row r="11" spans="2:6" ht="15.75" customHeight="1">
      <c r="B11" s="2"/>
      <c r="E11" s="35"/>
      <c r="F11" s="99" t="s">
        <v>119</v>
      </c>
    </row>
    <row r="12" spans="2:6" ht="15.75" customHeight="1">
      <c r="B12" s="2"/>
      <c r="E12" s="35"/>
      <c r="F12" s="99" t="s">
        <v>118</v>
      </c>
    </row>
    <row r="13" spans="2:6" ht="15.75" customHeight="1">
      <c r="B13" s="5"/>
      <c r="C13" s="5" t="s">
        <v>57</v>
      </c>
      <c r="E13" s="35" t="s">
        <v>0</v>
      </c>
      <c r="F13" s="99" t="s">
        <v>120</v>
      </c>
    </row>
    <row r="14" spans="2:6" ht="15.75" customHeight="1">
      <c r="B14" s="5"/>
      <c r="C14" s="5" t="s">
        <v>58</v>
      </c>
      <c r="E14" s="35" t="s">
        <v>0</v>
      </c>
      <c r="F14" s="99" t="s">
        <v>121</v>
      </c>
    </row>
    <row r="15" spans="2:6" ht="15.75" customHeight="1">
      <c r="B15" s="2" t="s">
        <v>59</v>
      </c>
      <c r="C15" s="2"/>
      <c r="E15" s="35" t="s">
        <v>0</v>
      </c>
      <c r="F15" s="99" t="s">
        <v>122</v>
      </c>
    </row>
    <row r="16" spans="2:6" ht="15.75" customHeight="1">
      <c r="B16" s="2" t="s">
        <v>60</v>
      </c>
      <c r="C16" s="2"/>
      <c r="E16" s="35" t="s">
        <v>0</v>
      </c>
      <c r="F16" s="99" t="s">
        <v>123</v>
      </c>
    </row>
    <row r="17" spans="2:6" ht="15.75" customHeight="1">
      <c r="B17" s="2" t="s">
        <v>63</v>
      </c>
      <c r="C17" s="2"/>
      <c r="E17" s="35" t="s">
        <v>0</v>
      </c>
      <c r="F17" s="33" t="s">
        <v>61</v>
      </c>
    </row>
    <row r="18" spans="2:6" ht="15.75" customHeight="1">
      <c r="B18" s="2" t="s">
        <v>64</v>
      </c>
      <c r="C18" s="2"/>
      <c r="E18" s="35" t="s">
        <v>0</v>
      </c>
      <c r="F18" s="33" t="s">
        <v>62</v>
      </c>
    </row>
    <row r="19" spans="2:6" ht="15.75" customHeight="1">
      <c r="B19" s="2" t="s">
        <v>65</v>
      </c>
      <c r="C19" s="2"/>
      <c r="E19" s="35" t="s">
        <v>0</v>
      </c>
      <c r="F19" s="99" t="s">
        <v>124</v>
      </c>
    </row>
    <row r="20" spans="2:5" ht="15.75" customHeight="1">
      <c r="B20" s="4" t="s">
        <v>66</v>
      </c>
      <c r="C20" s="4"/>
      <c r="E20" s="35"/>
    </row>
    <row r="21" spans="2:6" ht="15.75" customHeight="1">
      <c r="B21" s="2"/>
      <c r="C21" s="2"/>
      <c r="E21" s="35"/>
      <c r="F21" s="64"/>
    </row>
    <row r="22" spans="2:5" ht="15.75" customHeight="1">
      <c r="B22" s="2"/>
      <c r="C22" s="2"/>
      <c r="E22" s="35"/>
    </row>
    <row r="23" spans="2:5" ht="15.75" customHeight="1">
      <c r="B23" s="3" t="s">
        <v>67</v>
      </c>
      <c r="C23" s="4"/>
      <c r="E23" s="35"/>
    </row>
    <row r="24" spans="2:6" ht="15.75" customHeight="1">
      <c r="B24" s="64" t="s">
        <v>74</v>
      </c>
      <c r="C24" s="4"/>
      <c r="E24" s="35" t="s">
        <v>0</v>
      </c>
      <c r="F24" s="33" t="s">
        <v>75</v>
      </c>
    </row>
    <row r="25" spans="2:6" ht="15.75" customHeight="1">
      <c r="B25" s="64" t="s">
        <v>68</v>
      </c>
      <c r="C25" s="2"/>
      <c r="E25" s="35" t="s">
        <v>0</v>
      </c>
      <c r="F25" s="33" t="s">
        <v>76</v>
      </c>
    </row>
    <row r="26" spans="2:6" ht="15.75" customHeight="1">
      <c r="B26" s="64" t="s">
        <v>31</v>
      </c>
      <c r="C26" s="2"/>
      <c r="E26" s="35" t="s">
        <v>0</v>
      </c>
      <c r="F26" s="33" t="s">
        <v>77</v>
      </c>
    </row>
    <row r="27" spans="2:6" ht="15.75" customHeight="1">
      <c r="B27" s="2"/>
      <c r="C27" s="2"/>
      <c r="E27" s="35"/>
      <c r="F27" s="33" t="s">
        <v>78</v>
      </c>
    </row>
    <row r="28" spans="2:6" ht="15.75" customHeight="1">
      <c r="B28" s="64" t="s">
        <v>69</v>
      </c>
      <c r="C28" s="64" t="s">
        <v>70</v>
      </c>
      <c r="E28" s="35" t="s">
        <v>0</v>
      </c>
      <c r="F28" s="99" t="s">
        <v>73</v>
      </c>
    </row>
    <row r="29" spans="2:6" ht="15.75" customHeight="1">
      <c r="B29" s="2"/>
      <c r="C29" s="64" t="s">
        <v>71</v>
      </c>
      <c r="E29" s="35" t="s">
        <v>0</v>
      </c>
      <c r="F29" s="33" t="s">
        <v>79</v>
      </c>
    </row>
    <row r="30" spans="2:6" ht="15.75" customHeight="1">
      <c r="B30" s="2"/>
      <c r="C30" s="64" t="s">
        <v>80</v>
      </c>
      <c r="E30" s="35" t="s">
        <v>0</v>
      </c>
      <c r="F30" s="99" t="s">
        <v>72</v>
      </c>
    </row>
    <row r="31" spans="2:6" ht="15.75" customHeight="1">
      <c r="B31" s="2" t="s">
        <v>81</v>
      </c>
      <c r="C31" s="2"/>
      <c r="E31" s="35" t="s">
        <v>0</v>
      </c>
      <c r="F31" s="33" t="s">
        <v>82</v>
      </c>
    </row>
    <row r="32" spans="2:6" ht="15.75" customHeight="1">
      <c r="B32" s="2" t="s">
        <v>36</v>
      </c>
      <c r="C32" s="2"/>
      <c r="E32" s="35" t="s">
        <v>0</v>
      </c>
      <c r="F32" s="33" t="s">
        <v>83</v>
      </c>
    </row>
    <row r="33" spans="2:6" ht="15.75" customHeight="1">
      <c r="B33" s="2" t="s">
        <v>37</v>
      </c>
      <c r="C33" s="2"/>
      <c r="E33" s="35" t="s">
        <v>0</v>
      </c>
      <c r="F33" s="33" t="s">
        <v>84</v>
      </c>
    </row>
    <row r="34" spans="2:6" ht="15.75" customHeight="1">
      <c r="B34" s="2"/>
      <c r="C34" s="2" t="s">
        <v>85</v>
      </c>
      <c r="E34" s="35" t="s">
        <v>0</v>
      </c>
      <c r="F34" s="33" t="s">
        <v>86</v>
      </c>
    </row>
    <row r="35" spans="2:6" ht="15.75" customHeight="1">
      <c r="B35" s="2"/>
      <c r="C35" s="2" t="s">
        <v>87</v>
      </c>
      <c r="E35" s="35" t="s">
        <v>0</v>
      </c>
      <c r="F35" s="33" t="s">
        <v>88</v>
      </c>
    </row>
    <row r="36" spans="2:6" ht="15.75" customHeight="1">
      <c r="B36" s="2"/>
      <c r="C36" s="2"/>
      <c r="E36" s="35"/>
      <c r="F36" s="33" t="s">
        <v>89</v>
      </c>
    </row>
    <row r="37" spans="2:5" ht="15.75" customHeight="1">
      <c r="B37" s="2" t="s">
        <v>90</v>
      </c>
      <c r="E37" s="35" t="s">
        <v>0</v>
      </c>
    </row>
    <row r="38" spans="2:6" ht="15.75" customHeight="1">
      <c r="B38" s="2" t="s">
        <v>41</v>
      </c>
      <c r="E38" s="35" t="s">
        <v>0</v>
      </c>
      <c r="F38" s="33" t="s">
        <v>91</v>
      </c>
    </row>
    <row r="39" spans="2:5" ht="15.75" customHeight="1">
      <c r="B39" s="2" t="s">
        <v>92</v>
      </c>
      <c r="E39" s="35" t="s">
        <v>0</v>
      </c>
    </row>
    <row r="40" spans="2:6" ht="15.75" customHeight="1">
      <c r="B40" s="2" t="s">
        <v>94</v>
      </c>
      <c r="E40" s="35" t="s">
        <v>0</v>
      </c>
      <c r="F40" s="33" t="s">
        <v>93</v>
      </c>
    </row>
    <row r="41" spans="2:6" ht="15.75" customHeight="1">
      <c r="B41" s="2" t="s">
        <v>95</v>
      </c>
      <c r="E41" s="35" t="s">
        <v>0</v>
      </c>
      <c r="F41" s="33" t="s">
        <v>96</v>
      </c>
    </row>
    <row r="42" spans="2:5" ht="15.75" customHeight="1">
      <c r="B42" s="4" t="s">
        <v>97</v>
      </c>
      <c r="E42" s="35"/>
    </row>
    <row r="43" ht="15.75" customHeight="1">
      <c r="B43" s="4"/>
    </row>
    <row r="44" spans="2:6" ht="15.75" customHeight="1">
      <c r="B44" s="2" t="s">
        <v>98</v>
      </c>
      <c r="E44" s="33" t="s">
        <v>0</v>
      </c>
      <c r="F44" s="33" t="s">
        <v>99</v>
      </c>
    </row>
    <row r="45" spans="2:6" ht="15.75" customHeight="1">
      <c r="B45" s="2"/>
      <c r="F45" s="33" t="s">
        <v>100</v>
      </c>
    </row>
    <row r="46" ht="15.75" customHeight="1">
      <c r="B46" s="2"/>
    </row>
    <row r="47" spans="2:6" ht="15.75" customHeight="1">
      <c r="B47" s="4" t="s">
        <v>101</v>
      </c>
      <c r="E47" s="33" t="s">
        <v>0</v>
      </c>
      <c r="F47" s="33" t="s">
        <v>104</v>
      </c>
    </row>
    <row r="48" spans="2:6" ht="15.75" customHeight="1">
      <c r="B48" s="2" t="s">
        <v>55</v>
      </c>
      <c r="E48" s="33" t="s">
        <v>0</v>
      </c>
      <c r="F48" s="33" t="s">
        <v>105</v>
      </c>
    </row>
    <row r="49" spans="2:6" ht="15.75" customHeight="1">
      <c r="B49" s="2" t="s">
        <v>103</v>
      </c>
      <c r="E49" s="33" t="s">
        <v>0</v>
      </c>
      <c r="F49" s="33" t="s">
        <v>106</v>
      </c>
    </row>
    <row r="50" spans="2:6" ht="15.75" customHeight="1">
      <c r="B50" s="4" t="s">
        <v>102</v>
      </c>
      <c r="E50" s="33" t="s">
        <v>0</v>
      </c>
      <c r="F50" s="33" t="s">
        <v>107</v>
      </c>
    </row>
    <row r="53" ht="15.75" customHeight="1">
      <c r="B53" s="100" t="s">
        <v>108</v>
      </c>
    </row>
    <row r="54" ht="15.75" customHeight="1">
      <c r="B54" s="100" t="s">
        <v>109</v>
      </c>
    </row>
    <row r="55" ht="15.75" customHeight="1">
      <c r="B55" s="76"/>
    </row>
    <row r="56" ht="15.75" customHeight="1">
      <c r="B56" s="100" t="s">
        <v>110</v>
      </c>
    </row>
    <row r="57" ht="15.75" customHeight="1">
      <c r="B57" s="100" t="s">
        <v>111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15.421875" style="0" customWidth="1"/>
    <col min="3" max="3" width="10.8515625" style="0" customWidth="1"/>
    <col min="4" max="4" width="12.140625" style="0" customWidth="1"/>
    <col min="5" max="5" width="10.8515625" style="0" customWidth="1"/>
    <col min="14" max="14" width="10.140625" style="0" customWidth="1"/>
  </cols>
  <sheetData>
    <row r="1" spans="1:22" ht="15">
      <c r="A1" s="103" t="s">
        <v>148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15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2.7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2.75">
      <c r="A4" s="106"/>
      <c r="B4" s="104"/>
      <c r="C4" s="104"/>
      <c r="D4" s="107" t="s">
        <v>149</v>
      </c>
      <c r="E4" s="108">
        <v>0.23</v>
      </c>
      <c r="F4" s="109" t="s">
        <v>150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2.75">
      <c r="A5" s="107" t="s">
        <v>151</v>
      </c>
      <c r="B5" s="110">
        <v>500</v>
      </c>
      <c r="C5" s="104"/>
      <c r="D5" s="107" t="s">
        <v>152</v>
      </c>
      <c r="E5" s="111">
        <v>0.05</v>
      </c>
      <c r="F5" s="109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2.75">
      <c r="A6" s="107" t="s">
        <v>153</v>
      </c>
      <c r="B6" s="112">
        <v>5</v>
      </c>
      <c r="C6" s="113" t="s">
        <v>181</v>
      </c>
      <c r="D6" s="107" t="s">
        <v>154</v>
      </c>
      <c r="E6" s="111">
        <v>0.02</v>
      </c>
      <c r="F6" s="109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12.75">
      <c r="A7" s="107" t="s">
        <v>155</v>
      </c>
      <c r="B7" s="114">
        <f>SUM(B5*B6)</f>
        <v>2500</v>
      </c>
      <c r="C7" s="104"/>
      <c r="D7" s="107" t="s">
        <v>156</v>
      </c>
      <c r="E7" s="115">
        <v>155</v>
      </c>
      <c r="F7" s="109" t="s">
        <v>157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12.75">
      <c r="A8" s="104"/>
      <c r="B8" s="104"/>
      <c r="C8" s="104"/>
      <c r="D8" s="107" t="s">
        <v>158</v>
      </c>
      <c r="E8" s="116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12.75">
      <c r="A9" s="104"/>
      <c r="B9" s="104"/>
      <c r="C9" s="104"/>
      <c r="E9" s="116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12.75">
      <c r="A10" s="104"/>
      <c r="B10" s="104"/>
      <c r="C10" s="104"/>
      <c r="D10" s="107"/>
      <c r="E10" s="117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</row>
    <row r="12" spans="1:22" ht="12.75">
      <c r="A12" s="107" t="s">
        <v>156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pans="1:22" ht="12.75">
      <c r="A13" s="107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12.75">
      <c r="A14" s="107" t="s">
        <v>159</v>
      </c>
      <c r="B14" s="118" t="s">
        <v>6</v>
      </c>
      <c r="C14" s="118" t="s">
        <v>7</v>
      </c>
      <c r="D14" s="118" t="s">
        <v>8</v>
      </c>
      <c r="E14" s="118" t="s">
        <v>9</v>
      </c>
      <c r="F14" s="118" t="s">
        <v>10</v>
      </c>
      <c r="G14" s="118" t="s">
        <v>11</v>
      </c>
      <c r="H14" s="118" t="s">
        <v>12</v>
      </c>
      <c r="I14" s="118" t="s">
        <v>13</v>
      </c>
      <c r="J14" s="118" t="s">
        <v>14</v>
      </c>
      <c r="K14" s="118" t="s">
        <v>15</v>
      </c>
      <c r="L14" s="118" t="s">
        <v>16</v>
      </c>
      <c r="M14" s="118" t="s">
        <v>17</v>
      </c>
      <c r="N14" s="119" t="s">
        <v>160</v>
      </c>
      <c r="O14" s="104"/>
      <c r="P14" s="104"/>
      <c r="Q14" s="104"/>
      <c r="R14" s="104"/>
      <c r="S14" s="104"/>
      <c r="T14" s="104"/>
      <c r="U14" s="104"/>
      <c r="V14" s="104"/>
    </row>
    <row r="15" spans="1:22" ht="12.75">
      <c r="A15" s="107" t="s">
        <v>161</v>
      </c>
      <c r="B15" s="120">
        <v>0.016</v>
      </c>
      <c r="C15" s="120">
        <v>0.016</v>
      </c>
      <c r="D15" s="120">
        <v>0.02</v>
      </c>
      <c r="E15" s="120">
        <v>0.017</v>
      </c>
      <c r="F15" s="120">
        <v>0.026</v>
      </c>
      <c r="G15" s="120">
        <v>0.057</v>
      </c>
      <c r="H15" s="120">
        <v>0.118</v>
      </c>
      <c r="I15" s="120">
        <v>0.174</v>
      </c>
      <c r="J15" s="120">
        <v>0.193</v>
      </c>
      <c r="K15" s="120">
        <v>0.19</v>
      </c>
      <c r="L15" s="120">
        <v>0.138</v>
      </c>
      <c r="M15" s="120">
        <v>0.035</v>
      </c>
      <c r="N15" s="121">
        <f aca="true" t="shared" si="0" ref="N15:N22">SUM(B15:M15)</f>
        <v>1</v>
      </c>
      <c r="O15" s="106"/>
      <c r="P15" s="104"/>
      <c r="Q15" s="104"/>
      <c r="R15" s="104"/>
      <c r="S15" s="104"/>
      <c r="T15" s="104"/>
      <c r="U15" s="104"/>
      <c r="V15" s="104"/>
    </row>
    <row r="16" spans="1:22" ht="12.75">
      <c r="A16" s="107" t="s">
        <v>162</v>
      </c>
      <c r="B16" s="122">
        <f aca="true" t="shared" si="1" ref="B16:M16">($B$7)*(B15*$E$7)</f>
        <v>6200</v>
      </c>
      <c r="C16" s="122">
        <f t="shared" si="1"/>
        <v>6200</v>
      </c>
      <c r="D16" s="122">
        <f t="shared" si="1"/>
        <v>7750</v>
      </c>
      <c r="E16" s="122">
        <f t="shared" si="1"/>
        <v>6587.500000000001</v>
      </c>
      <c r="F16" s="122">
        <f t="shared" si="1"/>
        <v>10075</v>
      </c>
      <c r="G16" s="122">
        <f t="shared" si="1"/>
        <v>22087.500000000004</v>
      </c>
      <c r="H16" s="122">
        <f t="shared" si="1"/>
        <v>45725</v>
      </c>
      <c r="I16" s="122">
        <f t="shared" si="1"/>
        <v>67425</v>
      </c>
      <c r="J16" s="122">
        <f t="shared" si="1"/>
        <v>74787.5</v>
      </c>
      <c r="K16" s="122">
        <f t="shared" si="1"/>
        <v>73625</v>
      </c>
      <c r="L16" s="122">
        <f t="shared" si="1"/>
        <v>53475</v>
      </c>
      <c r="M16" s="122">
        <f t="shared" si="1"/>
        <v>13562.500000000002</v>
      </c>
      <c r="N16" s="123">
        <f t="shared" si="0"/>
        <v>387500</v>
      </c>
      <c r="O16" s="106"/>
      <c r="P16" s="104"/>
      <c r="Q16" s="104"/>
      <c r="R16" s="104"/>
      <c r="S16" s="104"/>
      <c r="T16" s="104"/>
      <c r="U16" s="104"/>
      <c r="V16" s="104"/>
    </row>
    <row r="17" spans="1:22" ht="12.75">
      <c r="A17" s="107" t="s">
        <v>163</v>
      </c>
      <c r="B17" s="124">
        <f>$E$4*B16</f>
        <v>1426</v>
      </c>
      <c r="C17" s="124">
        <f aca="true" t="shared" si="2" ref="C17:M17">$E$4*C16</f>
        <v>1426</v>
      </c>
      <c r="D17" s="124">
        <f t="shared" si="2"/>
        <v>1782.5</v>
      </c>
      <c r="E17" s="124">
        <f t="shared" si="2"/>
        <v>1515.1250000000002</v>
      </c>
      <c r="F17" s="124">
        <f t="shared" si="2"/>
        <v>2317.25</v>
      </c>
      <c r="G17" s="124">
        <f t="shared" si="2"/>
        <v>5080.125000000001</v>
      </c>
      <c r="H17" s="124">
        <f t="shared" si="2"/>
        <v>10516.75</v>
      </c>
      <c r="I17" s="124">
        <f t="shared" si="2"/>
        <v>15507.75</v>
      </c>
      <c r="J17" s="124">
        <f t="shared" si="2"/>
        <v>17201.125</v>
      </c>
      <c r="K17" s="124">
        <f t="shared" si="2"/>
        <v>16933.75</v>
      </c>
      <c r="L17" s="124">
        <f t="shared" si="2"/>
        <v>12299.25</v>
      </c>
      <c r="M17" s="124">
        <f t="shared" si="2"/>
        <v>3119.3750000000005</v>
      </c>
      <c r="N17" s="125">
        <f t="shared" si="0"/>
        <v>89125</v>
      </c>
      <c r="O17" s="106"/>
      <c r="P17" s="104"/>
      <c r="Q17" s="104"/>
      <c r="R17" s="104"/>
      <c r="S17" s="104"/>
      <c r="T17" s="104"/>
      <c r="U17" s="104"/>
      <c r="V17" s="104"/>
    </row>
    <row r="18" spans="1:22" ht="12.75">
      <c r="A18" s="107" t="s">
        <v>152</v>
      </c>
      <c r="B18" s="124">
        <f>B17*$E$5</f>
        <v>71.3</v>
      </c>
      <c r="C18" s="124">
        <f aca="true" t="shared" si="3" ref="C18:M18">C17*$E$5</f>
        <v>71.3</v>
      </c>
      <c r="D18" s="124">
        <f t="shared" si="3"/>
        <v>89.125</v>
      </c>
      <c r="E18" s="124">
        <f t="shared" si="3"/>
        <v>75.75625000000001</v>
      </c>
      <c r="F18" s="124">
        <f t="shared" si="3"/>
        <v>115.86250000000001</v>
      </c>
      <c r="G18" s="124">
        <f t="shared" si="3"/>
        <v>254.00625000000005</v>
      </c>
      <c r="H18" s="124">
        <f t="shared" si="3"/>
        <v>525.8375</v>
      </c>
      <c r="I18" s="124">
        <f t="shared" si="3"/>
        <v>775.3875</v>
      </c>
      <c r="J18" s="124">
        <f t="shared" si="3"/>
        <v>860.0562500000001</v>
      </c>
      <c r="K18" s="124">
        <f t="shared" si="3"/>
        <v>846.6875</v>
      </c>
      <c r="L18" s="124">
        <f t="shared" si="3"/>
        <v>614.9625000000001</v>
      </c>
      <c r="M18" s="124">
        <f t="shared" si="3"/>
        <v>155.96875000000003</v>
      </c>
      <c r="N18" s="125">
        <f t="shared" si="0"/>
        <v>4456.25</v>
      </c>
      <c r="O18" s="106"/>
      <c r="P18" s="104"/>
      <c r="Q18" s="104"/>
      <c r="R18" s="104"/>
      <c r="S18" s="104"/>
      <c r="T18" s="104"/>
      <c r="U18" s="104"/>
      <c r="V18" s="104"/>
    </row>
    <row r="19" spans="1:22" ht="12.75">
      <c r="A19" s="107" t="s">
        <v>163</v>
      </c>
      <c r="B19" s="124">
        <f>B17-B18</f>
        <v>1354.7</v>
      </c>
      <c r="C19" s="124">
        <f aca="true" t="shared" si="4" ref="C19:M19">C17-C18</f>
        <v>1354.7</v>
      </c>
      <c r="D19" s="124">
        <f t="shared" si="4"/>
        <v>1693.375</v>
      </c>
      <c r="E19" s="124">
        <f t="shared" si="4"/>
        <v>1439.3687500000003</v>
      </c>
      <c r="F19" s="124">
        <f t="shared" si="4"/>
        <v>2201.3875</v>
      </c>
      <c r="G19" s="124">
        <f t="shared" si="4"/>
        <v>4826.118750000001</v>
      </c>
      <c r="H19" s="124">
        <f t="shared" si="4"/>
        <v>9990.9125</v>
      </c>
      <c r="I19" s="124">
        <f t="shared" si="4"/>
        <v>14732.3625</v>
      </c>
      <c r="J19" s="124">
        <f t="shared" si="4"/>
        <v>16341.06875</v>
      </c>
      <c r="K19" s="124">
        <f t="shared" si="4"/>
        <v>16087.0625</v>
      </c>
      <c r="L19" s="124">
        <f t="shared" si="4"/>
        <v>11684.2875</v>
      </c>
      <c r="M19" s="124">
        <f t="shared" si="4"/>
        <v>2963.4062500000005</v>
      </c>
      <c r="N19" s="125">
        <f>SUM(B19:M19)</f>
        <v>84668.75</v>
      </c>
      <c r="O19" s="106"/>
      <c r="P19" s="104"/>
      <c r="Q19" s="104"/>
      <c r="R19" s="104"/>
      <c r="S19" s="104"/>
      <c r="T19" s="104"/>
      <c r="U19" s="104"/>
      <c r="V19" s="104"/>
    </row>
    <row r="20" spans="1:22" ht="12.75">
      <c r="A20" s="107" t="s">
        <v>164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06"/>
      <c r="P20" s="104"/>
      <c r="Q20" s="104"/>
      <c r="R20" s="104"/>
      <c r="S20" s="104"/>
      <c r="T20" s="104"/>
      <c r="U20" s="104"/>
      <c r="V20" s="104"/>
    </row>
    <row r="21" spans="1:22" ht="12.75">
      <c r="A21" s="107" t="s">
        <v>154</v>
      </c>
      <c r="B21" s="124">
        <f aca="true" t="shared" si="5" ref="B21:M21">B19*$E$6</f>
        <v>27.094</v>
      </c>
      <c r="C21" s="124">
        <f t="shared" si="5"/>
        <v>27.094</v>
      </c>
      <c r="D21" s="124">
        <f t="shared" si="5"/>
        <v>33.8675</v>
      </c>
      <c r="E21" s="124">
        <f t="shared" si="5"/>
        <v>28.787375000000008</v>
      </c>
      <c r="F21" s="124">
        <f t="shared" si="5"/>
        <v>44.02775</v>
      </c>
      <c r="G21" s="124">
        <f t="shared" si="5"/>
        <v>96.52237500000001</v>
      </c>
      <c r="H21" s="124">
        <f t="shared" si="5"/>
        <v>199.81825</v>
      </c>
      <c r="I21" s="124">
        <f t="shared" si="5"/>
        <v>294.64725</v>
      </c>
      <c r="J21" s="124">
        <f t="shared" si="5"/>
        <v>326.821375</v>
      </c>
      <c r="K21" s="124">
        <f t="shared" si="5"/>
        <v>321.74125</v>
      </c>
      <c r="L21" s="124">
        <f t="shared" si="5"/>
        <v>233.68575</v>
      </c>
      <c r="M21" s="124">
        <f t="shared" si="5"/>
        <v>59.26812500000001</v>
      </c>
      <c r="N21" s="125">
        <f t="shared" si="0"/>
        <v>1693.3750000000002</v>
      </c>
      <c r="O21" s="106"/>
      <c r="P21" s="104"/>
      <c r="Q21" s="104"/>
      <c r="R21" s="104"/>
      <c r="S21" s="104"/>
      <c r="T21" s="104"/>
      <c r="U21" s="104"/>
      <c r="V21" s="104"/>
    </row>
    <row r="22" spans="1:22" ht="12.75">
      <c r="A22" s="107" t="s">
        <v>160</v>
      </c>
      <c r="B22" s="124">
        <f>B17-B18-B21</f>
        <v>1327.606</v>
      </c>
      <c r="C22" s="124">
        <f aca="true" t="shared" si="6" ref="C22:M22">C17-C18-C21</f>
        <v>1327.606</v>
      </c>
      <c r="D22" s="124">
        <f t="shared" si="6"/>
        <v>1659.5075</v>
      </c>
      <c r="E22" s="124">
        <f t="shared" si="6"/>
        <v>1410.5813750000002</v>
      </c>
      <c r="F22" s="124">
        <f t="shared" si="6"/>
        <v>2157.3597499999996</v>
      </c>
      <c r="G22" s="124">
        <f t="shared" si="6"/>
        <v>4729.596375000001</v>
      </c>
      <c r="H22" s="124">
        <f t="shared" si="6"/>
        <v>9791.09425</v>
      </c>
      <c r="I22" s="124">
        <f t="shared" si="6"/>
        <v>14437.71525</v>
      </c>
      <c r="J22" s="124">
        <f t="shared" si="6"/>
        <v>16014.247375</v>
      </c>
      <c r="K22" s="124">
        <f t="shared" si="6"/>
        <v>15765.32125</v>
      </c>
      <c r="L22" s="124">
        <f t="shared" si="6"/>
        <v>11450.60175</v>
      </c>
      <c r="M22" s="124">
        <f t="shared" si="6"/>
        <v>2904.1381250000004</v>
      </c>
      <c r="N22" s="125">
        <f t="shared" si="0"/>
        <v>82975.375</v>
      </c>
      <c r="O22" s="106"/>
      <c r="P22" s="104"/>
      <c r="Q22" s="104"/>
      <c r="R22" s="104"/>
      <c r="S22" s="104"/>
      <c r="T22" s="104"/>
      <c r="U22" s="104"/>
      <c r="V22" s="104"/>
    </row>
    <row r="23" spans="1:22" ht="12.75">
      <c r="A23" s="107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06"/>
      <c r="P23" s="104"/>
      <c r="Q23" s="104"/>
      <c r="R23" s="104"/>
      <c r="S23" s="104"/>
      <c r="T23" s="104"/>
      <c r="U23" s="104"/>
      <c r="V23" s="104"/>
    </row>
    <row r="24" spans="1:22" ht="12.75">
      <c r="A24" s="107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06"/>
      <c r="P24" s="104"/>
      <c r="Q24" s="104"/>
      <c r="R24" s="104"/>
      <c r="S24" s="104"/>
      <c r="T24" s="104"/>
      <c r="U24" s="104"/>
      <c r="V24" s="104"/>
    </row>
    <row r="25" spans="1:22" ht="12.75">
      <c r="A25" s="107"/>
      <c r="B25" s="126"/>
      <c r="C25" s="126"/>
      <c r="D25" s="12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06"/>
      <c r="P25" s="104"/>
      <c r="Q25" s="104"/>
      <c r="R25" s="104"/>
      <c r="S25" s="104"/>
      <c r="T25" s="104"/>
      <c r="U25" s="104"/>
      <c r="V25" s="104"/>
    </row>
    <row r="26" spans="1:22" ht="12.75">
      <c r="A26" s="107"/>
      <c r="B26" s="104"/>
      <c r="C26" s="118" t="s">
        <v>165</v>
      </c>
      <c r="D26" s="118" t="s">
        <v>182</v>
      </c>
      <c r="E26" s="114" t="s">
        <v>166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6"/>
      <c r="P26" s="104"/>
      <c r="Q26" s="104"/>
      <c r="R26" s="104"/>
      <c r="S26" s="104"/>
      <c r="T26" s="104"/>
      <c r="U26" s="104"/>
      <c r="V26" s="104"/>
    </row>
    <row r="27" spans="1:22" ht="12.75">
      <c r="A27" s="107" t="s">
        <v>167</v>
      </c>
      <c r="B27" s="104"/>
      <c r="C27" s="126">
        <f>N22</f>
        <v>82975.375</v>
      </c>
      <c r="D27" s="128">
        <f>C27*0.14</f>
        <v>11616.552500000002</v>
      </c>
      <c r="E27" s="128">
        <f>SUM(C27:D27)</f>
        <v>94591.9275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6"/>
      <c r="P27" s="104"/>
      <c r="Q27" s="104"/>
      <c r="R27" s="104"/>
      <c r="S27" s="104"/>
      <c r="T27" s="104"/>
      <c r="U27" s="104"/>
      <c r="V27" s="104"/>
    </row>
    <row r="28" spans="1:22" ht="12.75">
      <c r="A28" s="107" t="s">
        <v>168</v>
      </c>
      <c r="B28" s="104"/>
      <c r="C28" s="126">
        <f>C27/B7</f>
        <v>33.19015</v>
      </c>
      <c r="D28" s="128">
        <f>C28*0.17</f>
        <v>5.642325500000001</v>
      </c>
      <c r="E28" s="128">
        <f>SUM(C28:D28)</f>
        <v>38.8324755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6"/>
      <c r="P28" s="104"/>
      <c r="Q28" s="104"/>
      <c r="R28" s="104"/>
      <c r="S28" s="104"/>
      <c r="T28" s="104"/>
      <c r="U28" s="104"/>
      <c r="V28" s="104"/>
    </row>
    <row r="36" ht="12.75">
      <c r="A36" s="129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4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4" sqref="I14:J14"/>
    </sheetView>
  </sheetViews>
  <sheetFormatPr defaultColWidth="13.57421875" defaultRowHeight="15.75" customHeight="1"/>
  <cols>
    <col min="1" max="1" width="15.8515625" style="1" customWidth="1"/>
    <col min="2" max="2" width="18.28125" style="1" customWidth="1"/>
    <col min="3" max="3" width="8.28125" style="1" customWidth="1"/>
    <col min="4" max="4" width="19.28125" style="1" customWidth="1"/>
    <col min="5" max="5" width="5.57421875" style="9" customWidth="1"/>
    <col min="6" max="6" width="8.421875" style="9" customWidth="1"/>
    <col min="7" max="7" width="8.57421875" style="9" customWidth="1"/>
    <col min="8" max="8" width="9.8515625" style="9" customWidth="1"/>
    <col min="9" max="32" width="6.00390625" style="9" customWidth="1"/>
    <col min="33" max="33" width="15.57421875" style="9" bestFit="1" customWidth="1"/>
    <col min="34" max="34" width="4.7109375" style="31" customWidth="1"/>
    <col min="35" max="35" width="6.140625" style="27" customWidth="1"/>
    <col min="36" max="37" width="6.00390625" style="27" customWidth="1"/>
    <col min="38" max="38" width="6.421875" style="27" customWidth="1"/>
    <col min="39" max="16384" width="13.57421875" style="9" customWidth="1"/>
  </cols>
  <sheetData>
    <row r="1" spans="1:39" ht="23.25" customHeight="1">
      <c r="A1" s="102" t="s">
        <v>125</v>
      </c>
      <c r="B1" s="91" t="s">
        <v>126</v>
      </c>
      <c r="D1" s="85"/>
      <c r="E1" s="97" t="s">
        <v>3</v>
      </c>
      <c r="F1" s="8"/>
      <c r="G1" s="8"/>
      <c r="H1" s="8"/>
      <c r="K1" s="98" t="s">
        <v>53</v>
      </c>
      <c r="L1" s="75" t="s">
        <v>180</v>
      </c>
      <c r="R1" s="91" t="s">
        <v>4</v>
      </c>
      <c r="S1" s="182"/>
      <c r="T1" s="182"/>
      <c r="U1" s="182"/>
      <c r="V1" s="182"/>
      <c r="W1" s="182"/>
      <c r="AI1" s="66"/>
      <c r="AM1" s="31"/>
    </row>
    <row r="2" spans="2:39" ht="15.75" customHeight="1">
      <c r="B2" s="86">
        <v>44197</v>
      </c>
      <c r="D2" s="85"/>
      <c r="E2" s="7"/>
      <c r="F2" s="8"/>
      <c r="G2" s="8"/>
      <c r="H2" s="8"/>
      <c r="J2" s="10"/>
      <c r="K2" s="10"/>
      <c r="L2" s="10"/>
      <c r="R2" s="91" t="s">
        <v>5</v>
      </c>
      <c r="S2" s="183"/>
      <c r="T2" s="183"/>
      <c r="U2" s="183"/>
      <c r="V2" s="183"/>
      <c r="W2" s="183"/>
      <c r="AI2" s="66"/>
      <c r="AM2" s="31"/>
    </row>
    <row r="3" spans="4:39" ht="15.75" customHeight="1">
      <c r="D3" s="85"/>
      <c r="AM3" s="31"/>
    </row>
    <row r="4" spans="4:39" ht="15.75" customHeight="1" thickBot="1">
      <c r="D4" s="85"/>
      <c r="E4" s="11"/>
      <c r="F4" s="11"/>
      <c r="G4" s="11"/>
      <c r="H4" s="58"/>
      <c r="I4" s="184" t="s">
        <v>6</v>
      </c>
      <c r="J4" s="176"/>
      <c r="K4" s="175" t="s">
        <v>7</v>
      </c>
      <c r="L4" s="176"/>
      <c r="M4" s="175" t="s">
        <v>8</v>
      </c>
      <c r="N4" s="176"/>
      <c r="O4" s="175" t="s">
        <v>9</v>
      </c>
      <c r="P4" s="176"/>
      <c r="Q4" s="175" t="s">
        <v>10</v>
      </c>
      <c r="R4" s="176"/>
      <c r="S4" s="175" t="s">
        <v>11</v>
      </c>
      <c r="T4" s="176"/>
      <c r="U4" s="175" t="s">
        <v>12</v>
      </c>
      <c r="V4" s="176"/>
      <c r="W4" s="175" t="s">
        <v>13</v>
      </c>
      <c r="X4" s="176"/>
      <c r="Y4" s="175" t="s">
        <v>14</v>
      </c>
      <c r="Z4" s="176"/>
      <c r="AA4" s="175" t="s">
        <v>15</v>
      </c>
      <c r="AB4" s="176"/>
      <c r="AC4" s="175" t="s">
        <v>16</v>
      </c>
      <c r="AD4" s="176"/>
      <c r="AE4" s="175" t="s">
        <v>17</v>
      </c>
      <c r="AF4" s="177"/>
      <c r="AG4" s="92" t="s">
        <v>54</v>
      </c>
      <c r="AH4" s="51"/>
      <c r="AI4" s="178" t="s">
        <v>51</v>
      </c>
      <c r="AJ4" s="179"/>
      <c r="AK4" s="180" t="s">
        <v>52</v>
      </c>
      <c r="AL4" s="181"/>
      <c r="AM4" s="42"/>
    </row>
    <row r="5" spans="4:39" ht="15.75" customHeight="1" thickTop="1">
      <c r="D5" s="85"/>
      <c r="E5" s="93" t="s">
        <v>18</v>
      </c>
      <c r="F5" s="4"/>
      <c r="G5" s="13"/>
      <c r="H5" s="13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4"/>
      <c r="AI5" s="174"/>
      <c r="AJ5" s="174"/>
      <c r="AK5" s="67"/>
      <c r="AL5" s="68"/>
      <c r="AM5" s="31"/>
    </row>
    <row r="6" spans="4:39" ht="15.75" customHeight="1">
      <c r="D6" s="85"/>
      <c r="E6" s="2" t="s">
        <v>19</v>
      </c>
      <c r="F6" s="2"/>
      <c r="G6" s="11"/>
      <c r="H6" s="58"/>
      <c r="I6" s="173">
        <f>+J7*J8+I7*I8</f>
        <v>0</v>
      </c>
      <c r="J6" s="173"/>
      <c r="K6" s="137">
        <f>+L7*L8+K7*K8</f>
        <v>0</v>
      </c>
      <c r="L6" s="137"/>
      <c r="M6" s="137">
        <f>+N7*N8+M7*M8</f>
        <v>76400</v>
      </c>
      <c r="N6" s="137"/>
      <c r="O6" s="137">
        <f>+P7*P8+O7*O8</f>
        <v>0</v>
      </c>
      <c r="P6" s="137"/>
      <c r="Q6" s="137">
        <f>+R7*R8+Q7*Q8</f>
        <v>0</v>
      </c>
      <c r="R6" s="137"/>
      <c r="S6" s="137">
        <f>+T7*T8+S7*S8</f>
        <v>18000</v>
      </c>
      <c r="T6" s="137"/>
      <c r="U6" s="137">
        <f>+V7*V8+U7*U8</f>
        <v>0</v>
      </c>
      <c r="V6" s="137"/>
      <c r="W6" s="137">
        <f>+X7*X8+W7*W8</f>
        <v>0</v>
      </c>
      <c r="X6" s="137"/>
      <c r="Y6" s="137">
        <f>+Z7*Z8+Y7*Y8</f>
        <v>20250</v>
      </c>
      <c r="Z6" s="137"/>
      <c r="AA6" s="137">
        <f>+AB7*AB8+AA7*AA8</f>
        <v>0</v>
      </c>
      <c r="AB6" s="137"/>
      <c r="AC6" s="137">
        <f>+AD7*AD8+AC7*AC8</f>
        <v>0</v>
      </c>
      <c r="AD6" s="137"/>
      <c r="AE6" s="137">
        <f>+AF7*AF8+AE7*AE8</f>
        <v>18000</v>
      </c>
      <c r="AF6" s="138"/>
      <c r="AG6" s="37">
        <f>SUM(I6:AF6)</f>
        <v>132650</v>
      </c>
      <c r="AH6" s="52"/>
      <c r="AI6" s="191"/>
      <c r="AJ6" s="191"/>
      <c r="AK6" s="192"/>
      <c r="AL6" s="193"/>
      <c r="AM6" s="42"/>
    </row>
    <row r="7" spans="1:39" s="23" customFormat="1" ht="11.25" customHeight="1">
      <c r="A7" s="87" t="s">
        <v>2</v>
      </c>
      <c r="B7" s="88" t="s">
        <v>1</v>
      </c>
      <c r="C7" s="89"/>
      <c r="D7" s="90"/>
      <c r="F7" s="5" t="s">
        <v>20</v>
      </c>
      <c r="G7" s="15"/>
      <c r="H7" s="59"/>
      <c r="I7" s="77"/>
      <c r="J7" s="78"/>
      <c r="K7" s="79"/>
      <c r="L7" s="79"/>
      <c r="M7" s="79">
        <v>800</v>
      </c>
      <c r="N7" s="79">
        <v>500</v>
      </c>
      <c r="O7" s="82"/>
      <c r="P7" s="82"/>
      <c r="Q7" s="82"/>
      <c r="R7" s="82"/>
      <c r="S7" s="82">
        <v>300</v>
      </c>
      <c r="T7" s="82"/>
      <c r="U7" s="82"/>
      <c r="V7" s="82"/>
      <c r="W7" s="82"/>
      <c r="X7" s="82"/>
      <c r="Y7" s="82">
        <v>150</v>
      </c>
      <c r="Z7" s="82">
        <v>200</v>
      </c>
      <c r="AA7" s="82"/>
      <c r="AB7" s="82"/>
      <c r="AC7" s="82"/>
      <c r="AD7" s="80"/>
      <c r="AE7" s="80">
        <v>200</v>
      </c>
      <c r="AF7" s="81">
        <v>100</v>
      </c>
      <c r="AG7" s="37">
        <f>SUM(I7:AF7)</f>
        <v>2250</v>
      </c>
      <c r="AH7" s="52"/>
      <c r="AI7" s="194"/>
      <c r="AJ7" s="195"/>
      <c r="AK7" s="194"/>
      <c r="AL7" s="195"/>
      <c r="AM7" s="43"/>
    </row>
    <row r="8" spans="1:39" s="23" customFormat="1" ht="11.25" customHeight="1">
      <c r="A8" s="89"/>
      <c r="B8" s="89"/>
      <c r="C8" s="89"/>
      <c r="D8" s="90"/>
      <c r="F8" s="5" t="s">
        <v>21</v>
      </c>
      <c r="G8" s="15"/>
      <c r="H8" s="59"/>
      <c r="I8" s="77"/>
      <c r="J8" s="78"/>
      <c r="K8" s="79"/>
      <c r="L8" s="79"/>
      <c r="M8" s="79">
        <v>58</v>
      </c>
      <c r="N8" s="79">
        <v>60</v>
      </c>
      <c r="O8" s="82"/>
      <c r="P8" s="82"/>
      <c r="Q8" s="82"/>
      <c r="R8" s="82"/>
      <c r="S8" s="82">
        <v>60</v>
      </c>
      <c r="T8" s="82"/>
      <c r="U8" s="82"/>
      <c r="V8" s="82"/>
      <c r="W8" s="82"/>
      <c r="X8" s="82"/>
      <c r="Y8" s="82">
        <v>55</v>
      </c>
      <c r="Z8" s="82">
        <v>60</v>
      </c>
      <c r="AA8" s="82"/>
      <c r="AB8" s="82"/>
      <c r="AC8" s="82"/>
      <c r="AD8" s="80"/>
      <c r="AE8" s="80">
        <v>60</v>
      </c>
      <c r="AF8" s="81">
        <v>60</v>
      </c>
      <c r="AG8" s="44"/>
      <c r="AH8" s="53"/>
      <c r="AI8" s="194"/>
      <c r="AJ8" s="195"/>
      <c r="AK8" s="194"/>
      <c r="AL8" s="195"/>
      <c r="AM8" s="43"/>
    </row>
    <row r="9" spans="1:39" ht="15.75" customHeight="1">
      <c r="A9" s="91" t="s">
        <v>127</v>
      </c>
      <c r="D9" s="85"/>
      <c r="E9" s="2" t="s">
        <v>22</v>
      </c>
      <c r="F9" s="2"/>
      <c r="G9" s="11"/>
      <c r="H9" s="58"/>
      <c r="I9" s="187"/>
      <c r="J9" s="149"/>
      <c r="K9" s="188">
        <v>10000</v>
      </c>
      <c r="L9" s="189"/>
      <c r="M9" s="148">
        <v>-10000</v>
      </c>
      <c r="N9" s="149"/>
      <c r="O9" s="185"/>
      <c r="P9" s="186"/>
      <c r="Q9" s="185"/>
      <c r="R9" s="186"/>
      <c r="S9" s="185"/>
      <c r="T9" s="186"/>
      <c r="U9" s="185"/>
      <c r="V9" s="186"/>
      <c r="W9" s="185"/>
      <c r="X9" s="186"/>
      <c r="Y9" s="185"/>
      <c r="Z9" s="186"/>
      <c r="AA9" s="185"/>
      <c r="AB9" s="186"/>
      <c r="AC9" s="185">
        <v>5000</v>
      </c>
      <c r="AD9" s="186"/>
      <c r="AE9" s="185">
        <v>-5000</v>
      </c>
      <c r="AF9" s="190"/>
      <c r="AG9" s="37">
        <f>SUM(I9:AF9)</f>
        <v>0</v>
      </c>
      <c r="AH9" s="52"/>
      <c r="AI9" s="191"/>
      <c r="AJ9" s="191"/>
      <c r="AK9" s="192"/>
      <c r="AL9" s="193"/>
      <c r="AM9" s="42"/>
    </row>
    <row r="10" spans="1:39" ht="15.75" customHeight="1">
      <c r="A10" s="91" t="s">
        <v>128</v>
      </c>
      <c r="D10" s="85"/>
      <c r="E10" s="2" t="s">
        <v>23</v>
      </c>
      <c r="F10" s="2"/>
      <c r="G10" s="11"/>
      <c r="H10" s="58"/>
      <c r="I10" s="187"/>
      <c r="J10" s="149"/>
      <c r="K10" s="188"/>
      <c r="L10" s="189"/>
      <c r="M10" s="148"/>
      <c r="N10" s="149"/>
      <c r="O10" s="185"/>
      <c r="P10" s="186"/>
      <c r="Q10" s="185"/>
      <c r="R10" s="186"/>
      <c r="S10" s="185"/>
      <c r="T10" s="186"/>
      <c r="U10" s="185"/>
      <c r="V10" s="186"/>
      <c r="W10" s="185"/>
      <c r="X10" s="186"/>
      <c r="Y10" s="185"/>
      <c r="Z10" s="186"/>
      <c r="AA10" s="185"/>
      <c r="AB10" s="186"/>
      <c r="AC10" s="185"/>
      <c r="AD10" s="186"/>
      <c r="AE10" s="185"/>
      <c r="AF10" s="190"/>
      <c r="AG10" s="37">
        <f>SUM(I10:AF10)</f>
        <v>0</v>
      </c>
      <c r="AH10" s="52"/>
      <c r="AI10" s="191"/>
      <c r="AJ10" s="191"/>
      <c r="AK10" s="192"/>
      <c r="AL10" s="193"/>
      <c r="AM10" s="42"/>
    </row>
    <row r="11" spans="1:39" ht="15.75" customHeight="1">
      <c r="A11" s="91" t="s">
        <v>129</v>
      </c>
      <c r="D11" s="85"/>
      <c r="E11" s="2" t="s">
        <v>24</v>
      </c>
      <c r="F11" s="2"/>
      <c r="G11" s="11"/>
      <c r="H11" s="58"/>
      <c r="I11" s="187"/>
      <c r="J11" s="149"/>
      <c r="K11" s="188"/>
      <c r="L11" s="189"/>
      <c r="M11" s="196"/>
      <c r="N11" s="197"/>
      <c r="O11" s="185"/>
      <c r="P11" s="186"/>
      <c r="Q11" s="185"/>
      <c r="R11" s="186"/>
      <c r="S11" s="185"/>
      <c r="T11" s="186"/>
      <c r="U11" s="185"/>
      <c r="V11" s="186"/>
      <c r="W11" s="185"/>
      <c r="X11" s="186"/>
      <c r="Y11" s="185"/>
      <c r="Z11" s="186"/>
      <c r="AA11" s="185"/>
      <c r="AB11" s="186"/>
      <c r="AC11" s="185"/>
      <c r="AD11" s="186"/>
      <c r="AE11" s="185"/>
      <c r="AF11" s="190"/>
      <c r="AG11" s="37">
        <f>SUM(I11:AF11)</f>
        <v>0</v>
      </c>
      <c r="AH11" s="52"/>
      <c r="AI11" s="191"/>
      <c r="AJ11" s="191"/>
      <c r="AK11" s="192"/>
      <c r="AL11" s="193"/>
      <c r="AM11" s="42"/>
    </row>
    <row r="12" spans="1:39" ht="15.75" customHeight="1">
      <c r="A12" s="91" t="s">
        <v>130</v>
      </c>
      <c r="D12" s="85"/>
      <c r="E12" s="2" t="s">
        <v>25</v>
      </c>
      <c r="F12" s="2"/>
      <c r="G12" s="11"/>
      <c r="H12" s="58"/>
      <c r="I12" s="187"/>
      <c r="J12" s="149"/>
      <c r="K12" s="188"/>
      <c r="L12" s="189"/>
      <c r="M12" s="137">
        <f>IF(I36&lt;0,-I36,0)</f>
        <v>492</v>
      </c>
      <c r="N12" s="137"/>
      <c r="O12" s="137">
        <f>IF(K36&lt;0,-K36,0)</f>
        <v>0</v>
      </c>
      <c r="P12" s="137"/>
      <c r="Q12" s="137">
        <f>IF(M36&lt;0,-M36,0)</f>
        <v>0</v>
      </c>
      <c r="R12" s="137"/>
      <c r="S12" s="137">
        <f>IF(O36&lt;0,-O36,0)</f>
        <v>541</v>
      </c>
      <c r="T12" s="137"/>
      <c r="U12" s="137">
        <f>IF(Q36&lt;0,-Q36,0)</f>
        <v>559</v>
      </c>
      <c r="V12" s="137"/>
      <c r="W12" s="137">
        <f>IF(S36&lt;0,-S36,0)</f>
        <v>0</v>
      </c>
      <c r="X12" s="137"/>
      <c r="Y12" s="137">
        <f>IF(U36&lt;0,-U36,0)</f>
        <v>1056.5</v>
      </c>
      <c r="Z12" s="137"/>
      <c r="AA12" s="137">
        <f>IF(W36&lt;0,-W36,0)</f>
        <v>1576.5</v>
      </c>
      <c r="AB12" s="137"/>
      <c r="AC12" s="137">
        <f>IF(Y36&lt;0,-Y36,0)</f>
        <v>0</v>
      </c>
      <c r="AD12" s="137"/>
      <c r="AE12" s="137">
        <f>IF(AA36&lt;0,-AA36,0)</f>
        <v>2031.5</v>
      </c>
      <c r="AF12" s="138"/>
      <c r="AG12" s="37">
        <f>SUM(I12:AF12)</f>
        <v>6256.5</v>
      </c>
      <c r="AH12" s="52"/>
      <c r="AI12" s="24"/>
      <c r="AJ12" s="24"/>
      <c r="AK12" s="24"/>
      <c r="AL12" s="39"/>
      <c r="AM12" s="31"/>
    </row>
    <row r="13" spans="1:39" ht="15.75" customHeight="1" thickBot="1">
      <c r="A13" s="91" t="s">
        <v>133</v>
      </c>
      <c r="D13" s="85"/>
      <c r="E13" s="2" t="s">
        <v>26</v>
      </c>
      <c r="F13" s="2"/>
      <c r="G13" s="11"/>
      <c r="H13" s="60"/>
      <c r="I13" s="163">
        <f>+(I6+I9)*22%</f>
        <v>0</v>
      </c>
      <c r="J13" s="133"/>
      <c r="K13" s="146">
        <f>+(K6+K9)*22%</f>
        <v>2200</v>
      </c>
      <c r="L13" s="133"/>
      <c r="M13" s="146">
        <f>+(M6+M9)*22%</f>
        <v>14608</v>
      </c>
      <c r="N13" s="133"/>
      <c r="O13" s="146">
        <f>+(O6+O9)*22%</f>
        <v>0</v>
      </c>
      <c r="P13" s="133"/>
      <c r="Q13" s="146">
        <f>+(Q6+Q9)*22%</f>
        <v>0</v>
      </c>
      <c r="R13" s="133"/>
      <c r="S13" s="146">
        <f>+(S6+S9)*22%</f>
        <v>3960</v>
      </c>
      <c r="T13" s="133"/>
      <c r="U13" s="146">
        <f>+(U6+U9)*23%</f>
        <v>0</v>
      </c>
      <c r="V13" s="133"/>
      <c r="W13" s="146">
        <f>+(W6+W9)*23%</f>
        <v>0</v>
      </c>
      <c r="X13" s="133"/>
      <c r="Y13" s="146">
        <f>+(Y6+Y9)*23%</f>
        <v>4657.5</v>
      </c>
      <c r="Z13" s="133"/>
      <c r="AA13" s="146">
        <f>+(AA6+AA9)*23%</f>
        <v>0</v>
      </c>
      <c r="AB13" s="133"/>
      <c r="AC13" s="146">
        <f>+(AC6+AC9)*23%</f>
        <v>1150</v>
      </c>
      <c r="AD13" s="133"/>
      <c r="AE13" s="146">
        <f>+(AE6+AE9)*23%</f>
        <v>2990</v>
      </c>
      <c r="AF13" s="133"/>
      <c r="AG13" s="45">
        <f>SUM(I13:AF13)</f>
        <v>29565.5</v>
      </c>
      <c r="AH13" s="52"/>
      <c r="AI13" s="72"/>
      <c r="AJ13" s="25"/>
      <c r="AK13" s="25"/>
      <c r="AL13" s="25"/>
      <c r="AM13" s="31"/>
    </row>
    <row r="14" spans="1:39" ht="15.75" customHeight="1" thickTop="1">
      <c r="A14" s="91" t="s">
        <v>134</v>
      </c>
      <c r="D14" s="85"/>
      <c r="E14" s="4" t="s">
        <v>27</v>
      </c>
      <c r="F14" s="4"/>
      <c r="G14" s="13"/>
      <c r="H14" s="61"/>
      <c r="I14" s="159">
        <f>SUM(I6,I9:J13)</f>
        <v>0</v>
      </c>
      <c r="J14" s="160"/>
      <c r="K14" s="159">
        <f>SUM(K6,K9:L13)</f>
        <v>12200</v>
      </c>
      <c r="L14" s="160"/>
      <c r="M14" s="159">
        <f>SUM(M6,M9:N13)</f>
        <v>81500</v>
      </c>
      <c r="N14" s="160"/>
      <c r="O14" s="159">
        <f>SUM(O6,O9:P13)</f>
        <v>0</v>
      </c>
      <c r="P14" s="160"/>
      <c r="Q14" s="159">
        <f>SUM(Q6,Q9:R13)</f>
        <v>0</v>
      </c>
      <c r="R14" s="160"/>
      <c r="S14" s="159">
        <f>SUM(S6,S9:T13)</f>
        <v>22501</v>
      </c>
      <c r="T14" s="160"/>
      <c r="U14" s="159">
        <f>SUM(U6,U9:V13)</f>
        <v>559</v>
      </c>
      <c r="V14" s="160"/>
      <c r="W14" s="159">
        <f>SUM(W6,W9:X13)</f>
        <v>0</v>
      </c>
      <c r="X14" s="160"/>
      <c r="Y14" s="159">
        <f>SUM(Y6,Y9:Z13)</f>
        <v>25964</v>
      </c>
      <c r="Z14" s="160"/>
      <c r="AA14" s="159">
        <f>SUM(AA6,AA9:AB13)</f>
        <v>1576.5</v>
      </c>
      <c r="AB14" s="160"/>
      <c r="AC14" s="159">
        <f>SUM(AC6,AC9:AD13)</f>
        <v>6150</v>
      </c>
      <c r="AD14" s="160"/>
      <c r="AE14" s="161">
        <f>SUM(AE6,AE9:AF13)</f>
        <v>18021.5</v>
      </c>
      <c r="AF14" s="162"/>
      <c r="AG14" s="46">
        <f>SUM(AG6,AG9:AG13)</f>
        <v>168472</v>
      </c>
      <c r="AH14" s="54"/>
      <c r="AI14" s="73"/>
      <c r="AJ14" s="24"/>
      <c r="AK14" s="24"/>
      <c r="AL14" s="24"/>
      <c r="AM14" s="31"/>
    </row>
    <row r="15" spans="1:39" ht="15.75" customHeight="1">
      <c r="A15" s="91" t="s">
        <v>132</v>
      </c>
      <c r="D15" s="85"/>
      <c r="E15" s="11"/>
      <c r="F15" s="11"/>
      <c r="G15" s="11"/>
      <c r="H15" s="11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27"/>
      <c r="AH15" s="30"/>
      <c r="AI15" s="38"/>
      <c r="AJ15" s="38"/>
      <c r="AK15" s="38"/>
      <c r="AL15" s="38"/>
      <c r="AM15" s="31"/>
    </row>
    <row r="16" spans="1:39" ht="15.75" customHeight="1">
      <c r="A16" s="1" t="s">
        <v>131</v>
      </c>
      <c r="D16" s="85"/>
      <c r="E16" s="11"/>
      <c r="F16" s="11"/>
      <c r="G16" s="11"/>
      <c r="H16" s="11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27"/>
      <c r="AH16" s="30"/>
      <c r="AI16" s="38"/>
      <c r="AJ16" s="38"/>
      <c r="AK16" s="38"/>
      <c r="AL16" s="38"/>
      <c r="AM16" s="31"/>
    </row>
    <row r="17" spans="1:39" ht="15.75" customHeight="1">
      <c r="A17" s="91" t="s">
        <v>135</v>
      </c>
      <c r="D17" s="85"/>
      <c r="E17" s="93" t="s">
        <v>28</v>
      </c>
      <c r="F17" s="4"/>
      <c r="G17" s="13"/>
      <c r="H17" s="13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27"/>
      <c r="AH17" s="30"/>
      <c r="AI17" s="74"/>
      <c r="AJ17" s="38"/>
      <c r="AK17" s="38"/>
      <c r="AL17" s="38"/>
      <c r="AM17" s="31"/>
    </row>
    <row r="18" spans="1:39" ht="15.75" customHeight="1">
      <c r="A18" s="91" t="s">
        <v>136</v>
      </c>
      <c r="D18" s="85"/>
      <c r="E18" s="94" t="s">
        <v>29</v>
      </c>
      <c r="F18"/>
      <c r="G18" s="13"/>
      <c r="H18" s="83">
        <v>55000</v>
      </c>
      <c r="I18" s="137">
        <f>+$H$18*1.46%</f>
        <v>803</v>
      </c>
      <c r="J18" s="137"/>
      <c r="K18" s="137">
        <f>+$H$18*1.05%</f>
        <v>577.5</v>
      </c>
      <c r="L18" s="137"/>
      <c r="M18" s="137">
        <f>+$H$18*1.49%</f>
        <v>819.5</v>
      </c>
      <c r="N18" s="137"/>
      <c r="O18" s="137">
        <f>+$H$18*1.41%</f>
        <v>775.5</v>
      </c>
      <c r="P18" s="137"/>
      <c r="Q18" s="137">
        <f>+$H$18*1.69%</f>
        <v>929.4999999999999</v>
      </c>
      <c r="R18" s="137"/>
      <c r="S18" s="137">
        <f>+$H$18*3.33%</f>
        <v>1831.5000000000002</v>
      </c>
      <c r="T18" s="137"/>
      <c r="U18" s="137">
        <f>+$H$18*8.57%</f>
        <v>4713.5</v>
      </c>
      <c r="V18" s="137"/>
      <c r="W18" s="137">
        <f>+$H$18*15.47%</f>
        <v>8508.5</v>
      </c>
      <c r="X18" s="137"/>
      <c r="Y18" s="137">
        <f>+$H$18*19.07%</f>
        <v>10488.5</v>
      </c>
      <c r="Z18" s="137"/>
      <c r="AA18" s="137">
        <f>+$H$18*21.67%</f>
        <v>11918.5</v>
      </c>
      <c r="AB18" s="137"/>
      <c r="AC18" s="137">
        <f>+$H$18*19.83%</f>
        <v>10906.499999999998</v>
      </c>
      <c r="AD18" s="137"/>
      <c r="AE18" s="137">
        <f>+$H$18*4.96%</f>
        <v>2728</v>
      </c>
      <c r="AF18" s="138"/>
      <c r="AG18" s="6">
        <f>SUM(I18:AF18)</f>
        <v>55000</v>
      </c>
      <c r="AH18" s="30"/>
      <c r="AI18" s="74"/>
      <c r="AJ18" s="38"/>
      <c r="AK18" s="38"/>
      <c r="AL18" s="38"/>
      <c r="AM18" s="31"/>
    </row>
    <row r="19" spans="4:39" ht="15.75" customHeight="1">
      <c r="D19" s="85"/>
      <c r="E19" s="94" t="s">
        <v>30</v>
      </c>
      <c r="F19"/>
      <c r="G19" s="11"/>
      <c r="H19" s="58"/>
      <c r="I19" s="187">
        <v>800</v>
      </c>
      <c r="J19" s="187"/>
      <c r="K19" s="200">
        <v>550</v>
      </c>
      <c r="L19" s="200"/>
      <c r="M19" s="187">
        <v>850</v>
      </c>
      <c r="N19" s="187"/>
      <c r="O19" s="199">
        <v>750</v>
      </c>
      <c r="P19" s="199"/>
      <c r="Q19" s="198">
        <v>900</v>
      </c>
      <c r="R19" s="198"/>
      <c r="S19" s="199">
        <v>2000</v>
      </c>
      <c r="T19" s="199"/>
      <c r="U19" s="198">
        <v>4500</v>
      </c>
      <c r="V19" s="198"/>
      <c r="W19" s="199">
        <v>8500</v>
      </c>
      <c r="X19" s="199"/>
      <c r="Y19" s="198">
        <v>10500</v>
      </c>
      <c r="Z19" s="198"/>
      <c r="AA19" s="199">
        <v>12000</v>
      </c>
      <c r="AB19" s="199"/>
      <c r="AC19" s="198">
        <v>10900</v>
      </c>
      <c r="AD19" s="198"/>
      <c r="AE19" s="199">
        <v>2750</v>
      </c>
      <c r="AF19" s="202"/>
      <c r="AG19" s="47">
        <f>SUM(I19:AF19)</f>
        <v>55000</v>
      </c>
      <c r="AH19" s="55"/>
      <c r="AI19" s="191"/>
      <c r="AJ19" s="191"/>
      <c r="AK19" s="192"/>
      <c r="AL19" s="193"/>
      <c r="AM19" s="42"/>
    </row>
    <row r="20" spans="1:39" ht="15.75" customHeight="1">
      <c r="A20" s="91" t="s">
        <v>137</v>
      </c>
      <c r="D20" s="85"/>
      <c r="E20" s="94" t="s">
        <v>31</v>
      </c>
      <c r="F20"/>
      <c r="G20" s="11"/>
      <c r="H20" s="58"/>
      <c r="I20" s="187">
        <v>1100</v>
      </c>
      <c r="J20" s="187"/>
      <c r="K20" s="200">
        <v>900</v>
      </c>
      <c r="L20" s="200"/>
      <c r="M20" s="151">
        <v>1200</v>
      </c>
      <c r="N20" s="151"/>
      <c r="O20" s="199">
        <v>1100</v>
      </c>
      <c r="P20" s="199"/>
      <c r="Q20" s="199">
        <v>1100</v>
      </c>
      <c r="R20" s="199"/>
      <c r="S20" s="199">
        <v>1100</v>
      </c>
      <c r="T20" s="199"/>
      <c r="U20" s="199">
        <v>1100</v>
      </c>
      <c r="V20" s="199"/>
      <c r="W20" s="199">
        <v>1100</v>
      </c>
      <c r="X20" s="199"/>
      <c r="Y20" s="199">
        <v>1100</v>
      </c>
      <c r="Z20" s="199"/>
      <c r="AA20" s="199">
        <v>1100</v>
      </c>
      <c r="AB20" s="199"/>
      <c r="AC20" s="199">
        <v>1100</v>
      </c>
      <c r="AD20" s="199"/>
      <c r="AE20" s="199">
        <v>1100</v>
      </c>
      <c r="AF20" s="202"/>
      <c r="AG20" s="47">
        <f aca="true" t="shared" si="0" ref="AG20:AG31">SUM(I20:AF20)</f>
        <v>13100</v>
      </c>
      <c r="AH20" s="55"/>
      <c r="AI20" s="191"/>
      <c r="AJ20" s="191"/>
      <c r="AK20" s="192"/>
      <c r="AL20" s="193"/>
      <c r="AM20" s="42"/>
    </row>
    <row r="21" spans="1:39" ht="15.75" customHeight="1">
      <c r="A21" s="91" t="s">
        <v>138</v>
      </c>
      <c r="D21" s="85"/>
      <c r="E21" s="94" t="s">
        <v>32</v>
      </c>
      <c r="F21"/>
      <c r="G21" s="11"/>
      <c r="H21" s="58"/>
      <c r="I21" s="187">
        <v>1600</v>
      </c>
      <c r="J21" s="187"/>
      <c r="K21" s="200">
        <v>1600</v>
      </c>
      <c r="L21" s="200"/>
      <c r="M21" s="187">
        <v>1600</v>
      </c>
      <c r="N21" s="187"/>
      <c r="O21" s="201">
        <v>1600</v>
      </c>
      <c r="P21" s="201"/>
      <c r="Q21" s="198">
        <v>1600</v>
      </c>
      <c r="R21" s="198"/>
      <c r="S21" s="201">
        <v>1600</v>
      </c>
      <c r="T21" s="201"/>
      <c r="U21" s="198">
        <v>1600</v>
      </c>
      <c r="V21" s="198"/>
      <c r="W21" s="201">
        <v>1600</v>
      </c>
      <c r="X21" s="201"/>
      <c r="Y21" s="198">
        <v>1600</v>
      </c>
      <c r="Z21" s="198"/>
      <c r="AA21" s="201">
        <v>1600</v>
      </c>
      <c r="AB21" s="201"/>
      <c r="AC21" s="198">
        <v>1600</v>
      </c>
      <c r="AD21" s="198"/>
      <c r="AE21" s="199">
        <v>1600</v>
      </c>
      <c r="AF21" s="202"/>
      <c r="AG21" s="47">
        <f t="shared" si="0"/>
        <v>19200</v>
      </c>
      <c r="AH21" s="55"/>
      <c r="AI21" s="191"/>
      <c r="AJ21" s="191"/>
      <c r="AK21" s="192"/>
      <c r="AL21" s="193"/>
      <c r="AM21" s="42"/>
    </row>
    <row r="22" spans="5:39" ht="15.75" customHeight="1">
      <c r="E22" s="95" t="s">
        <v>33</v>
      </c>
      <c r="F22"/>
      <c r="G22" s="11"/>
      <c r="H22" s="58"/>
      <c r="I22" s="187"/>
      <c r="J22" s="187"/>
      <c r="K22" s="200"/>
      <c r="L22" s="200"/>
      <c r="M22" s="151"/>
      <c r="N22" s="151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>
        <v>1900</v>
      </c>
      <c r="AD22" s="199"/>
      <c r="AE22" s="199">
        <v>1900</v>
      </c>
      <c r="AF22" s="202"/>
      <c r="AG22" s="47">
        <f t="shared" si="0"/>
        <v>3800</v>
      </c>
      <c r="AH22" s="55"/>
      <c r="AI22" s="191"/>
      <c r="AJ22" s="191"/>
      <c r="AK22" s="192"/>
      <c r="AL22" s="193"/>
      <c r="AM22" s="42"/>
    </row>
    <row r="23" spans="1:39" ht="15.75" customHeight="1">
      <c r="A23" s="91" t="s">
        <v>139</v>
      </c>
      <c r="D23" s="85"/>
      <c r="E23" s="95" t="s">
        <v>34</v>
      </c>
      <c r="F23"/>
      <c r="G23" s="11"/>
      <c r="H23" s="60"/>
      <c r="I23" s="187">
        <v>1600</v>
      </c>
      <c r="J23" s="187"/>
      <c r="K23" s="200"/>
      <c r="L23" s="200"/>
      <c r="M23" s="151"/>
      <c r="N23" s="151"/>
      <c r="O23" s="199">
        <v>1600</v>
      </c>
      <c r="P23" s="199"/>
      <c r="Q23" s="199"/>
      <c r="R23" s="199"/>
      <c r="S23" s="199"/>
      <c r="T23" s="199"/>
      <c r="U23" s="199">
        <v>1600</v>
      </c>
      <c r="V23" s="199"/>
      <c r="W23" s="199"/>
      <c r="X23" s="199"/>
      <c r="Y23" s="199"/>
      <c r="Z23" s="199"/>
      <c r="AA23" s="199">
        <v>1600</v>
      </c>
      <c r="AB23" s="199"/>
      <c r="AC23" s="199"/>
      <c r="AD23" s="199"/>
      <c r="AE23" s="199"/>
      <c r="AF23" s="202"/>
      <c r="AG23" s="47">
        <f t="shared" si="0"/>
        <v>6400</v>
      </c>
      <c r="AH23" s="55"/>
      <c r="AI23" s="203"/>
      <c r="AJ23" s="203"/>
      <c r="AK23" s="204"/>
      <c r="AL23" s="205"/>
      <c r="AM23" s="42"/>
    </row>
    <row r="24" spans="1:39" ht="15.75" customHeight="1">
      <c r="A24" s="91" t="s">
        <v>140</v>
      </c>
      <c r="D24" s="85"/>
      <c r="E24" s="94" t="s">
        <v>35</v>
      </c>
      <c r="F24"/>
      <c r="G24" s="11"/>
      <c r="H24" s="58"/>
      <c r="I24" s="187"/>
      <c r="J24" s="187"/>
      <c r="K24" s="200">
        <v>5000</v>
      </c>
      <c r="L24" s="200"/>
      <c r="M24" s="187"/>
      <c r="N24" s="187"/>
      <c r="O24" s="199"/>
      <c r="P24" s="199"/>
      <c r="Q24" s="198"/>
      <c r="R24" s="198"/>
      <c r="S24" s="199"/>
      <c r="T24" s="199"/>
      <c r="U24" s="198"/>
      <c r="V24" s="198"/>
      <c r="W24" s="199"/>
      <c r="X24" s="199"/>
      <c r="Y24" s="198"/>
      <c r="Z24" s="198"/>
      <c r="AA24" s="199"/>
      <c r="AB24" s="199"/>
      <c r="AC24" s="198"/>
      <c r="AD24" s="198"/>
      <c r="AE24" s="199"/>
      <c r="AF24" s="202"/>
      <c r="AG24" s="47">
        <f t="shared" si="0"/>
        <v>5000</v>
      </c>
      <c r="AH24" s="55"/>
      <c r="AI24" s="191"/>
      <c r="AJ24" s="191"/>
      <c r="AK24" s="192"/>
      <c r="AL24" s="193"/>
      <c r="AM24" s="42"/>
    </row>
    <row r="25" spans="1:39" ht="15.75" customHeight="1">
      <c r="A25" s="91" t="s">
        <v>141</v>
      </c>
      <c r="D25" s="85"/>
      <c r="E25" s="94" t="s">
        <v>36</v>
      </c>
      <c r="F25"/>
      <c r="G25" s="11"/>
      <c r="H25" s="58"/>
      <c r="I25" s="187">
        <v>700</v>
      </c>
      <c r="J25" s="187"/>
      <c r="K25" s="151">
        <v>900</v>
      </c>
      <c r="L25" s="151"/>
      <c r="M25" s="151">
        <v>800</v>
      </c>
      <c r="N25" s="151"/>
      <c r="O25" s="199">
        <v>950</v>
      </c>
      <c r="P25" s="199"/>
      <c r="Q25" s="199">
        <v>950</v>
      </c>
      <c r="R25" s="199"/>
      <c r="S25" s="199">
        <v>950</v>
      </c>
      <c r="T25" s="199"/>
      <c r="U25" s="199">
        <v>950</v>
      </c>
      <c r="V25" s="199"/>
      <c r="W25" s="199">
        <v>950</v>
      </c>
      <c r="X25" s="199"/>
      <c r="Y25" s="199">
        <v>950</v>
      </c>
      <c r="Z25" s="199"/>
      <c r="AA25" s="199">
        <v>950</v>
      </c>
      <c r="AB25" s="199"/>
      <c r="AC25" s="199">
        <v>950</v>
      </c>
      <c r="AD25" s="199"/>
      <c r="AE25" s="199">
        <v>950</v>
      </c>
      <c r="AF25" s="202"/>
      <c r="AG25" s="47">
        <f t="shared" si="0"/>
        <v>10950</v>
      </c>
      <c r="AH25" s="55"/>
      <c r="AI25" s="191"/>
      <c r="AJ25" s="191"/>
      <c r="AK25" s="192"/>
      <c r="AL25" s="193"/>
      <c r="AM25" s="42"/>
    </row>
    <row r="26" spans="4:39" ht="15.75" customHeight="1">
      <c r="D26" s="85"/>
      <c r="E26" s="94" t="s">
        <v>37</v>
      </c>
      <c r="F26"/>
      <c r="G26" s="11"/>
      <c r="H26" s="58"/>
      <c r="I26" s="149">
        <v>75000</v>
      </c>
      <c r="J26" s="151"/>
      <c r="K26" s="137">
        <f>+I26-I27+K10</f>
        <v>74400</v>
      </c>
      <c r="L26" s="137"/>
      <c r="M26" s="137">
        <f>+K26-K27+M10</f>
        <v>73800</v>
      </c>
      <c r="N26" s="137"/>
      <c r="O26" s="137">
        <f>+M26-M27+O10</f>
        <v>73200</v>
      </c>
      <c r="P26" s="137"/>
      <c r="Q26" s="137">
        <f>+O26-O27+Q10</f>
        <v>72600</v>
      </c>
      <c r="R26" s="137"/>
      <c r="S26" s="137">
        <f>+Q26-Q27+S10</f>
        <v>72000</v>
      </c>
      <c r="T26" s="137"/>
      <c r="U26" s="137">
        <f>+S26-S27+U10</f>
        <v>71400</v>
      </c>
      <c r="V26" s="137"/>
      <c r="W26" s="137">
        <f>+U26-U27+W10</f>
        <v>70800</v>
      </c>
      <c r="X26" s="137"/>
      <c r="Y26" s="137">
        <f>+W26-W27+Y10</f>
        <v>70200</v>
      </c>
      <c r="Z26" s="137"/>
      <c r="AA26" s="137">
        <f>+Y26-Y27+AA10</f>
        <v>69600</v>
      </c>
      <c r="AB26" s="137"/>
      <c r="AC26" s="137">
        <f>+AA26-AA27+AC10</f>
        <v>69000</v>
      </c>
      <c r="AD26" s="137"/>
      <c r="AE26" s="137">
        <f>+AC26-AC27+AE10</f>
        <v>68400</v>
      </c>
      <c r="AF26" s="138"/>
      <c r="AG26" s="47">
        <f>+AE26-AE27</f>
        <v>67800</v>
      </c>
      <c r="AH26" s="56"/>
      <c r="AI26" s="191"/>
      <c r="AJ26" s="191"/>
      <c r="AK26" s="192"/>
      <c r="AL26" s="193"/>
      <c r="AM26" s="42"/>
    </row>
    <row r="27" spans="1:39" ht="15.75" customHeight="1">
      <c r="A27" s="91" t="s">
        <v>145</v>
      </c>
      <c r="D27" s="85"/>
      <c r="E27"/>
      <c r="F27" s="94" t="s">
        <v>38</v>
      </c>
      <c r="G27" s="11"/>
      <c r="H27" s="58"/>
      <c r="I27" s="187">
        <v>600</v>
      </c>
      <c r="J27" s="187"/>
      <c r="K27" s="200">
        <v>600</v>
      </c>
      <c r="L27" s="200"/>
      <c r="M27" s="151">
        <v>600</v>
      </c>
      <c r="N27" s="151"/>
      <c r="O27" s="199">
        <v>600</v>
      </c>
      <c r="P27" s="199"/>
      <c r="Q27" s="199">
        <v>600</v>
      </c>
      <c r="R27" s="199"/>
      <c r="S27" s="199">
        <v>600</v>
      </c>
      <c r="T27" s="199"/>
      <c r="U27" s="199">
        <v>600</v>
      </c>
      <c r="V27" s="199"/>
      <c r="W27" s="199">
        <v>600</v>
      </c>
      <c r="X27" s="199"/>
      <c r="Y27" s="199">
        <v>600</v>
      </c>
      <c r="Z27" s="199"/>
      <c r="AA27" s="199">
        <v>600</v>
      </c>
      <c r="AB27" s="199"/>
      <c r="AC27" s="199">
        <v>600</v>
      </c>
      <c r="AD27" s="199"/>
      <c r="AE27" s="199">
        <v>600</v>
      </c>
      <c r="AF27" s="202"/>
      <c r="AG27" s="47">
        <f>SUM(I27:AF27)</f>
        <v>7200</v>
      </c>
      <c r="AH27" s="55"/>
      <c r="AI27" s="191"/>
      <c r="AJ27" s="191"/>
      <c r="AK27" s="192"/>
      <c r="AL27" s="193"/>
      <c r="AM27" s="42"/>
    </row>
    <row r="28" spans="1:39" ht="15.75" customHeight="1">
      <c r="A28" s="91" t="s">
        <v>146</v>
      </c>
      <c r="D28" s="85"/>
      <c r="E28"/>
      <c r="F28" s="94" t="s">
        <v>39</v>
      </c>
      <c r="G28" s="29"/>
      <c r="H28" s="62">
        <v>0.041</v>
      </c>
      <c r="I28" s="136">
        <f>+($H$28*I26)/12</f>
        <v>256.25</v>
      </c>
      <c r="J28" s="137"/>
      <c r="K28" s="137">
        <f>+($H$28*K26)/12</f>
        <v>254.20000000000002</v>
      </c>
      <c r="L28" s="137"/>
      <c r="M28" s="137">
        <f>+($H$28*M26)/12</f>
        <v>252.15</v>
      </c>
      <c r="N28" s="137"/>
      <c r="O28" s="137">
        <f>+($H$28*O26)/12</f>
        <v>250.10000000000002</v>
      </c>
      <c r="P28" s="137"/>
      <c r="Q28" s="137">
        <f>+($H$28*Q26)/12</f>
        <v>248.04999999999998</v>
      </c>
      <c r="R28" s="137"/>
      <c r="S28" s="137">
        <f>+($H$28*S26)/12</f>
        <v>246</v>
      </c>
      <c r="T28" s="137"/>
      <c r="U28" s="137">
        <f>+($H$28*U26)/12</f>
        <v>243.95000000000002</v>
      </c>
      <c r="V28" s="137"/>
      <c r="W28" s="137">
        <f>+($H$28*W26)/12</f>
        <v>241.9</v>
      </c>
      <c r="X28" s="137"/>
      <c r="Y28" s="137">
        <f>+($H$28*Y26)/12</f>
        <v>239.85000000000002</v>
      </c>
      <c r="Z28" s="137"/>
      <c r="AA28" s="137">
        <f>+($H$28*AA26)/12</f>
        <v>237.79999999999998</v>
      </c>
      <c r="AB28" s="137"/>
      <c r="AC28" s="137">
        <f>+($H$28*AC26)/12</f>
        <v>235.75</v>
      </c>
      <c r="AD28" s="137"/>
      <c r="AE28" s="137">
        <f>+($H$28*AE26)/12</f>
        <v>233.70000000000002</v>
      </c>
      <c r="AF28" s="138"/>
      <c r="AG28" s="47">
        <f>SUM(I28:AF28)</f>
        <v>2939.7000000000003</v>
      </c>
      <c r="AH28" s="55"/>
      <c r="AI28" s="208"/>
      <c r="AJ28" s="208"/>
      <c r="AK28" s="206"/>
      <c r="AL28" s="207"/>
      <c r="AM28" s="42"/>
    </row>
    <row r="29" spans="1:39" ht="15.75" customHeight="1">
      <c r="A29" s="91" t="s">
        <v>142</v>
      </c>
      <c r="D29" s="85"/>
      <c r="E29" s="94" t="s">
        <v>40</v>
      </c>
      <c r="F29"/>
      <c r="G29" s="11"/>
      <c r="H29" s="58"/>
      <c r="I29" s="187">
        <v>400</v>
      </c>
      <c r="J29" s="187"/>
      <c r="K29" s="200">
        <v>400</v>
      </c>
      <c r="L29" s="200"/>
      <c r="M29" s="187">
        <v>400</v>
      </c>
      <c r="N29" s="187"/>
      <c r="O29" s="199">
        <v>400</v>
      </c>
      <c r="P29" s="199"/>
      <c r="Q29" s="198">
        <v>400</v>
      </c>
      <c r="R29" s="198"/>
      <c r="S29" s="199">
        <v>400</v>
      </c>
      <c r="T29" s="199"/>
      <c r="U29" s="198">
        <v>400</v>
      </c>
      <c r="V29" s="198"/>
      <c r="W29" s="199">
        <v>400</v>
      </c>
      <c r="X29" s="199"/>
      <c r="Y29" s="198">
        <v>400</v>
      </c>
      <c r="Z29" s="198"/>
      <c r="AA29" s="199">
        <v>400</v>
      </c>
      <c r="AB29" s="199"/>
      <c r="AC29" s="198">
        <v>400</v>
      </c>
      <c r="AD29" s="198"/>
      <c r="AE29" s="199">
        <v>400</v>
      </c>
      <c r="AF29" s="202"/>
      <c r="AG29" s="47">
        <f t="shared" si="0"/>
        <v>4800</v>
      </c>
      <c r="AH29" s="55"/>
      <c r="AI29" s="191"/>
      <c r="AJ29" s="191"/>
      <c r="AK29" s="192"/>
      <c r="AL29" s="193"/>
      <c r="AM29" s="42"/>
    </row>
    <row r="30" spans="1:39" ht="15.75" customHeight="1">
      <c r="A30" s="91" t="s">
        <v>143</v>
      </c>
      <c r="D30" s="85"/>
      <c r="E30" s="94" t="s">
        <v>41</v>
      </c>
      <c r="F30"/>
      <c r="G30" s="11"/>
      <c r="H30" s="58"/>
      <c r="I30" s="187"/>
      <c r="J30" s="187"/>
      <c r="K30" s="200"/>
      <c r="L30" s="200"/>
      <c r="M30" s="151"/>
      <c r="N30" s="151"/>
      <c r="O30" s="199"/>
      <c r="P30" s="199"/>
      <c r="Q30" s="199"/>
      <c r="R30" s="199"/>
      <c r="S30" s="199">
        <v>9000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202"/>
      <c r="AG30" s="47">
        <f t="shared" si="0"/>
        <v>9000</v>
      </c>
      <c r="AH30" s="55"/>
      <c r="AI30" s="191"/>
      <c r="AJ30" s="191"/>
      <c r="AK30" s="192"/>
      <c r="AL30" s="193"/>
      <c r="AM30" s="31"/>
    </row>
    <row r="31" spans="1:39" ht="15.75" customHeight="1">
      <c r="A31" s="91" t="s">
        <v>144</v>
      </c>
      <c r="D31" s="85"/>
      <c r="E31" s="94" t="s">
        <v>42</v>
      </c>
      <c r="F31"/>
      <c r="G31" s="12"/>
      <c r="H31" s="58"/>
      <c r="I31" s="187"/>
      <c r="J31" s="187"/>
      <c r="K31" s="200"/>
      <c r="L31" s="200"/>
      <c r="M31" s="151"/>
      <c r="N31" s="151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202"/>
      <c r="AG31" s="47">
        <f t="shared" si="0"/>
        <v>0</v>
      </c>
      <c r="AH31" s="55"/>
      <c r="AI31" s="191"/>
      <c r="AJ31" s="191"/>
      <c r="AK31" s="192"/>
      <c r="AL31" s="193"/>
      <c r="AM31" s="42"/>
    </row>
    <row r="32" spans="1:39" ht="15.75" customHeight="1">
      <c r="A32" s="91" t="s">
        <v>147</v>
      </c>
      <c r="D32" s="85"/>
      <c r="E32" s="94" t="s">
        <v>43</v>
      </c>
      <c r="F32"/>
      <c r="G32" s="12"/>
      <c r="H32" s="58"/>
      <c r="I32" s="149"/>
      <c r="J32" s="151"/>
      <c r="K32" s="200">
        <v>4100</v>
      </c>
      <c r="L32" s="200"/>
      <c r="M32" s="137">
        <f>IF(I36&gt;0,I36,0)</f>
        <v>0</v>
      </c>
      <c r="N32" s="137"/>
      <c r="O32" s="137">
        <f>IF(K36&gt;0,K36,0)</f>
        <v>1738</v>
      </c>
      <c r="P32" s="137"/>
      <c r="Q32" s="137">
        <f>IF(M36&gt;0,M36,0)</f>
        <v>14066</v>
      </c>
      <c r="R32" s="137"/>
      <c r="S32" s="137">
        <f>IF(O36&gt;0,O36,0)</f>
        <v>0</v>
      </c>
      <c r="T32" s="137"/>
      <c r="U32" s="137">
        <f>IF(Q36&gt;0,Q36,0)</f>
        <v>0</v>
      </c>
      <c r="V32" s="137"/>
      <c r="W32" s="137">
        <f>IF(S36&gt;0,S36,0)</f>
        <v>1289</v>
      </c>
      <c r="X32" s="137"/>
      <c r="Y32" s="137">
        <f>IF(U36&gt;0,U36,0)</f>
        <v>0</v>
      </c>
      <c r="Z32" s="137"/>
      <c r="AA32" s="137">
        <f>IF(W36&gt;0,W36,0)</f>
        <v>0</v>
      </c>
      <c r="AB32" s="137"/>
      <c r="AC32" s="137">
        <f>IF(Y36&gt;0,Y36,0)</f>
        <v>2821</v>
      </c>
      <c r="AD32" s="137"/>
      <c r="AE32" s="137">
        <f>IF(AA36&gt;0,AA36,0)</f>
        <v>0</v>
      </c>
      <c r="AF32" s="138"/>
      <c r="AG32" s="48">
        <f>SUM(I32:AF32)</f>
        <v>24014</v>
      </c>
      <c r="AH32" s="55"/>
      <c r="AI32" s="30"/>
      <c r="AJ32" s="30"/>
      <c r="AK32" s="30"/>
      <c r="AL32" s="40"/>
      <c r="AM32" s="31"/>
    </row>
    <row r="33" spans="4:39" ht="15.75" customHeight="1" thickBot="1">
      <c r="D33" s="85"/>
      <c r="E33" s="94" t="s">
        <v>44</v>
      </c>
      <c r="F33"/>
      <c r="G33" s="28"/>
      <c r="H33" s="60"/>
      <c r="I33" s="133">
        <f>I19*12%+(I20+I25+I30)*22%</f>
        <v>492</v>
      </c>
      <c r="J33" s="134"/>
      <c r="K33" s="146">
        <f>K19*12%+(K20+K25+K30)*22%</f>
        <v>462</v>
      </c>
      <c r="L33" s="133"/>
      <c r="M33" s="146">
        <f>M19*12%+(M20+M25+M30)*22%</f>
        <v>542</v>
      </c>
      <c r="N33" s="133"/>
      <c r="O33" s="146">
        <f>O19*12%+(O20+O25+O30)*22%</f>
        <v>541</v>
      </c>
      <c r="P33" s="133"/>
      <c r="Q33" s="146">
        <f>Q19*12%+(Q20+Q25+Q30)*22%</f>
        <v>559</v>
      </c>
      <c r="R33" s="133"/>
      <c r="S33" s="133">
        <f>S19*12%+(S20+S25+S30)*22%</f>
        <v>2671</v>
      </c>
      <c r="T33" s="133"/>
      <c r="U33" s="133">
        <f>U19*13%+(U20+U25+U30)*23%</f>
        <v>1056.5</v>
      </c>
      <c r="V33" s="134"/>
      <c r="W33" s="146">
        <f>W19*13%+(W20+W25+W30)*23%</f>
        <v>1576.5</v>
      </c>
      <c r="X33" s="133"/>
      <c r="Y33" s="146">
        <f>Y19*13%+(Y20+Y25+Y30)*23%</f>
        <v>1836.5</v>
      </c>
      <c r="Z33" s="133"/>
      <c r="AA33" s="146">
        <f>AA19*13%+(AA20+AA25+AA30)*23%</f>
        <v>2031.5</v>
      </c>
      <c r="AB33" s="133"/>
      <c r="AC33" s="146">
        <f>AC19*13%+(AC20+AC25+AC30)*23%</f>
        <v>1888.5</v>
      </c>
      <c r="AD33" s="133"/>
      <c r="AE33" s="134">
        <f>AE19*13%+(AE20+AE25+AE30)*23%</f>
        <v>829</v>
      </c>
      <c r="AF33" s="147"/>
      <c r="AG33" s="49">
        <f>SUM(I33:AF33)</f>
        <v>14485.5</v>
      </c>
      <c r="AH33" s="55"/>
      <c r="AI33" s="71"/>
      <c r="AJ33" s="71"/>
      <c r="AK33" s="71"/>
      <c r="AL33" s="41"/>
      <c r="AM33" s="31"/>
    </row>
    <row r="34" spans="4:39" ht="15.75" customHeight="1" thickTop="1">
      <c r="D34" s="85"/>
      <c r="E34" s="96" t="s">
        <v>45</v>
      </c>
      <c r="F34"/>
      <c r="G34" s="26"/>
      <c r="H34" s="61"/>
      <c r="I34" s="141">
        <f>SUM(I19:J25,I27:J33)</f>
        <v>7548.25</v>
      </c>
      <c r="J34" s="131"/>
      <c r="K34" s="141">
        <f>SUM(K19:L25,K27:L33)</f>
        <v>14766.2</v>
      </c>
      <c r="L34" s="131"/>
      <c r="M34" s="141">
        <f>SUM(M19:N25,M27:N33)</f>
        <v>6244.15</v>
      </c>
      <c r="N34" s="131"/>
      <c r="O34" s="141">
        <f>SUM(O19:P25,O27:P33)</f>
        <v>9529.1</v>
      </c>
      <c r="P34" s="131"/>
      <c r="Q34" s="141">
        <f>SUM(Q19:R25,Q27:R33)</f>
        <v>20423.05</v>
      </c>
      <c r="R34" s="131"/>
      <c r="S34" s="141">
        <f>SUM(S19:T25,S27:T33)</f>
        <v>18567</v>
      </c>
      <c r="T34" s="131"/>
      <c r="U34" s="141">
        <f>SUM(U19:V25,U27:V33)</f>
        <v>12050.45</v>
      </c>
      <c r="V34" s="131"/>
      <c r="W34" s="141">
        <f>SUM(W19:X25,W27:X33)</f>
        <v>16257.4</v>
      </c>
      <c r="X34" s="131"/>
      <c r="Y34" s="141">
        <f>SUM(Y19:Z25,Y27:Z33)</f>
        <v>17226.35</v>
      </c>
      <c r="Z34" s="131"/>
      <c r="AA34" s="141">
        <f>SUM(AA19:AB25,AA27:AB33)</f>
        <v>20519.3</v>
      </c>
      <c r="AB34" s="131"/>
      <c r="AC34" s="141">
        <f>SUM(AC19:AD25,AC27:AD33)</f>
        <v>22395.25</v>
      </c>
      <c r="AD34" s="131"/>
      <c r="AE34" s="131">
        <f>SUM(AE19:AF25,AE27:AF33)</f>
        <v>10362.7</v>
      </c>
      <c r="AF34" s="132"/>
      <c r="AG34" s="50">
        <f>SUM(AG19:AG25,AG27:AG33)</f>
        <v>175889.2</v>
      </c>
      <c r="AH34" s="57"/>
      <c r="AI34" s="70"/>
      <c r="AJ34" s="30"/>
      <c r="AK34" s="30"/>
      <c r="AL34" s="30"/>
      <c r="AM34" s="31"/>
    </row>
    <row r="35" spans="4:39" ht="15.75" customHeight="1">
      <c r="D35" s="85"/>
      <c r="E35" s="4"/>
      <c r="F35" s="4"/>
      <c r="G35" s="13"/>
      <c r="H35" s="13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30"/>
      <c r="AH35" s="30"/>
      <c r="AI35" s="70"/>
      <c r="AJ35" s="30"/>
      <c r="AK35" s="30"/>
      <c r="AL35" s="30"/>
      <c r="AM35" s="31"/>
    </row>
    <row r="36" spans="4:39" ht="15.75" customHeight="1">
      <c r="D36" s="85"/>
      <c r="E36" s="94" t="s">
        <v>46</v>
      </c>
      <c r="F36" s="2"/>
      <c r="G36" s="11"/>
      <c r="H36" s="58"/>
      <c r="I36" s="136">
        <f>+I13-I33</f>
        <v>-492</v>
      </c>
      <c r="J36" s="137"/>
      <c r="K36" s="137">
        <f>+K13-K33</f>
        <v>1738</v>
      </c>
      <c r="L36" s="137"/>
      <c r="M36" s="137">
        <f>+M13-M33</f>
        <v>14066</v>
      </c>
      <c r="N36" s="137"/>
      <c r="O36" s="137">
        <f>+O13-O33</f>
        <v>-541</v>
      </c>
      <c r="P36" s="137"/>
      <c r="Q36" s="137">
        <f>+Q13-Q33</f>
        <v>-559</v>
      </c>
      <c r="R36" s="137"/>
      <c r="S36" s="137">
        <f>+S13-S33</f>
        <v>1289</v>
      </c>
      <c r="T36" s="137"/>
      <c r="U36" s="137">
        <f>+U13-U33</f>
        <v>-1056.5</v>
      </c>
      <c r="V36" s="137"/>
      <c r="W36" s="137">
        <f>+W13-W33</f>
        <v>-1576.5</v>
      </c>
      <c r="X36" s="137"/>
      <c r="Y36" s="137">
        <f>+Y13-Y33</f>
        <v>2821</v>
      </c>
      <c r="Z36" s="137"/>
      <c r="AA36" s="137">
        <f>+AA13-AA33</f>
        <v>-2031.5</v>
      </c>
      <c r="AB36" s="137"/>
      <c r="AC36" s="137">
        <f>+AC13-AC33</f>
        <v>-738.5</v>
      </c>
      <c r="AD36" s="137"/>
      <c r="AE36" s="137">
        <f>+AE13-AE33</f>
        <v>2161</v>
      </c>
      <c r="AF36" s="138"/>
      <c r="AG36" s="30"/>
      <c r="AH36" s="30"/>
      <c r="AJ36" s="30"/>
      <c r="AK36" s="30"/>
      <c r="AL36" s="30"/>
      <c r="AM36" s="31"/>
    </row>
    <row r="37" spans="4:39" ht="15.75" customHeight="1">
      <c r="D37" s="85"/>
      <c r="E37" s="2"/>
      <c r="F37" s="2"/>
      <c r="G37" s="11"/>
      <c r="H37" s="11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27"/>
      <c r="AH37" s="30"/>
      <c r="AL37" s="30"/>
      <c r="AM37" s="31"/>
    </row>
    <row r="38" spans="4:39" ht="15.75" customHeight="1">
      <c r="D38" s="85"/>
      <c r="E38" s="96" t="s">
        <v>47</v>
      </c>
      <c r="F38" s="4"/>
      <c r="G38" s="13"/>
      <c r="H38" s="61"/>
      <c r="I38" s="136">
        <f>+H41</f>
        <v>15500</v>
      </c>
      <c r="J38" s="137"/>
      <c r="K38" s="136">
        <f>+I41</f>
        <v>7951.75</v>
      </c>
      <c r="L38" s="137"/>
      <c r="M38" s="136">
        <f>+K41</f>
        <v>5385.549999999999</v>
      </c>
      <c r="N38" s="137"/>
      <c r="O38" s="136">
        <f>+M41</f>
        <v>80641.40000000001</v>
      </c>
      <c r="P38" s="137"/>
      <c r="Q38" s="136">
        <f>+O41</f>
        <v>71112.3</v>
      </c>
      <c r="R38" s="137"/>
      <c r="S38" s="136">
        <f>+Q41</f>
        <v>50689.25</v>
      </c>
      <c r="T38" s="137"/>
      <c r="U38" s="136">
        <f>+S41</f>
        <v>54623.25</v>
      </c>
      <c r="V38" s="137"/>
      <c r="W38" s="136">
        <f>+U41</f>
        <v>43131.8</v>
      </c>
      <c r="X38" s="137"/>
      <c r="Y38" s="136">
        <f>+W41</f>
        <v>26874.4</v>
      </c>
      <c r="Z38" s="137"/>
      <c r="AA38" s="136">
        <f>+Y41</f>
        <v>35612.05</v>
      </c>
      <c r="AB38" s="137"/>
      <c r="AC38" s="136">
        <f>+AA41</f>
        <v>16669.250000000004</v>
      </c>
      <c r="AD38" s="137"/>
      <c r="AE38" s="137">
        <f>+AC41</f>
        <v>424.00000000000364</v>
      </c>
      <c r="AF38" s="138"/>
      <c r="AG38" s="30"/>
      <c r="AH38" s="30"/>
      <c r="AI38" s="69"/>
      <c r="AJ38" s="30"/>
      <c r="AK38" s="30"/>
      <c r="AL38" s="30"/>
      <c r="AM38" s="31"/>
    </row>
    <row r="39" spans="4:39" ht="15.75" customHeight="1">
      <c r="D39" s="85"/>
      <c r="E39" s="94" t="s">
        <v>48</v>
      </c>
      <c r="F39" s="2"/>
      <c r="G39" s="11"/>
      <c r="H39" s="58"/>
      <c r="I39" s="136">
        <f>+I14</f>
        <v>0</v>
      </c>
      <c r="J39" s="137"/>
      <c r="K39" s="137">
        <f>+K14</f>
        <v>12200</v>
      </c>
      <c r="L39" s="137"/>
      <c r="M39" s="137">
        <f>+M14</f>
        <v>81500</v>
      </c>
      <c r="N39" s="137"/>
      <c r="O39" s="137">
        <f>+O14</f>
        <v>0</v>
      </c>
      <c r="P39" s="137"/>
      <c r="Q39" s="137">
        <f>+Q14</f>
        <v>0</v>
      </c>
      <c r="R39" s="137"/>
      <c r="S39" s="137">
        <f>+S14</f>
        <v>22501</v>
      </c>
      <c r="T39" s="137"/>
      <c r="U39" s="137">
        <f>+U14</f>
        <v>559</v>
      </c>
      <c r="V39" s="137"/>
      <c r="W39" s="137">
        <f>+W14</f>
        <v>0</v>
      </c>
      <c r="X39" s="137"/>
      <c r="Y39" s="137">
        <f>+Y14</f>
        <v>25964</v>
      </c>
      <c r="Z39" s="137"/>
      <c r="AA39" s="137">
        <f>+AA14</f>
        <v>1576.5</v>
      </c>
      <c r="AB39" s="137"/>
      <c r="AC39" s="137">
        <f>+AC14</f>
        <v>6150</v>
      </c>
      <c r="AD39" s="137"/>
      <c r="AE39" s="137">
        <f>+AE14</f>
        <v>18021.5</v>
      </c>
      <c r="AF39" s="138"/>
      <c r="AG39" s="30"/>
      <c r="AH39" s="30"/>
      <c r="AI39" s="30"/>
      <c r="AJ39" s="30"/>
      <c r="AK39" s="30"/>
      <c r="AL39" s="30"/>
      <c r="AM39" s="31"/>
    </row>
    <row r="40" spans="4:39" ht="15.75" customHeight="1" thickBot="1">
      <c r="D40" s="85"/>
      <c r="E40" s="94" t="s">
        <v>49</v>
      </c>
      <c r="F40" s="2"/>
      <c r="G40" s="11"/>
      <c r="H40" s="58"/>
      <c r="I40" s="133">
        <f>-I34</f>
        <v>-7548.25</v>
      </c>
      <c r="J40" s="134"/>
      <c r="K40" s="134">
        <f>-K34</f>
        <v>-14766.2</v>
      </c>
      <c r="L40" s="134"/>
      <c r="M40" s="134">
        <f>-M34</f>
        <v>-6244.15</v>
      </c>
      <c r="N40" s="134"/>
      <c r="O40" s="134">
        <f>-O34</f>
        <v>-9529.1</v>
      </c>
      <c r="P40" s="134"/>
      <c r="Q40" s="134">
        <f>-Q34</f>
        <v>-20423.05</v>
      </c>
      <c r="R40" s="134"/>
      <c r="S40" s="134">
        <f>-S34</f>
        <v>-18567</v>
      </c>
      <c r="T40" s="134"/>
      <c r="U40" s="134">
        <f>-U34</f>
        <v>-12050.45</v>
      </c>
      <c r="V40" s="134"/>
      <c r="W40" s="134">
        <f>-W34</f>
        <v>-16257.4</v>
      </c>
      <c r="X40" s="134"/>
      <c r="Y40" s="134">
        <f>-Y34</f>
        <v>-17226.35</v>
      </c>
      <c r="Z40" s="134"/>
      <c r="AA40" s="134">
        <f>-AA34</f>
        <v>-20519.3</v>
      </c>
      <c r="AB40" s="134"/>
      <c r="AC40" s="134">
        <f>-AC34</f>
        <v>-22395.25</v>
      </c>
      <c r="AD40" s="134"/>
      <c r="AE40" s="134">
        <f>-AE34</f>
        <v>-10362.7</v>
      </c>
      <c r="AF40" s="135"/>
      <c r="AG40" s="30"/>
      <c r="AH40" s="30"/>
      <c r="AI40" s="30"/>
      <c r="AJ40" s="30"/>
      <c r="AK40" s="30"/>
      <c r="AL40" s="30"/>
      <c r="AM40" s="31"/>
    </row>
    <row r="41" spans="4:39" ht="15.75" customHeight="1" thickTop="1">
      <c r="D41" s="85"/>
      <c r="E41" s="96" t="s">
        <v>50</v>
      </c>
      <c r="F41" s="4"/>
      <c r="G41" s="13"/>
      <c r="H41" s="84">
        <v>15500</v>
      </c>
      <c r="I41" s="130">
        <f>SUM(I38:J40)</f>
        <v>7951.75</v>
      </c>
      <c r="J41" s="130"/>
      <c r="K41" s="131">
        <f>SUM(K38:L40)</f>
        <v>5385.549999999999</v>
      </c>
      <c r="L41" s="131"/>
      <c r="M41" s="131">
        <f>SUM(M38:N40)</f>
        <v>80641.40000000001</v>
      </c>
      <c r="N41" s="131"/>
      <c r="O41" s="131">
        <f>SUM(O38:P40)</f>
        <v>71112.3</v>
      </c>
      <c r="P41" s="131"/>
      <c r="Q41" s="131">
        <f>SUM(Q38:R40)</f>
        <v>50689.25</v>
      </c>
      <c r="R41" s="131"/>
      <c r="S41" s="131">
        <f>SUM(S38:T40)</f>
        <v>54623.25</v>
      </c>
      <c r="T41" s="131"/>
      <c r="U41" s="131">
        <f>SUM(U38:V40)</f>
        <v>43131.8</v>
      </c>
      <c r="V41" s="131"/>
      <c r="W41" s="131">
        <f>SUM(W38:X40)</f>
        <v>26874.4</v>
      </c>
      <c r="X41" s="131"/>
      <c r="Y41" s="131">
        <f>SUM(Y38:Z40)</f>
        <v>35612.05</v>
      </c>
      <c r="Z41" s="131"/>
      <c r="AA41" s="131">
        <f>SUM(AA38:AB40)</f>
        <v>16669.250000000004</v>
      </c>
      <c r="AB41" s="131"/>
      <c r="AC41" s="131">
        <f>SUM(AC38:AD40)</f>
        <v>424.00000000000364</v>
      </c>
      <c r="AD41" s="131"/>
      <c r="AE41" s="131">
        <f>SUM(AE38:AF40)</f>
        <v>8082.800000000003</v>
      </c>
      <c r="AF41" s="132"/>
      <c r="AG41" s="30"/>
      <c r="AH41" s="30"/>
      <c r="AI41" s="69"/>
      <c r="AJ41" s="30"/>
      <c r="AK41" s="30"/>
      <c r="AM41" s="31"/>
    </row>
    <row r="42" spans="5:39" ht="15.75" customHeight="1">
      <c r="E42" s="11"/>
      <c r="F42" s="11"/>
      <c r="G42" s="11"/>
      <c r="H42" s="12"/>
      <c r="AI42" s="30"/>
      <c r="AJ42" s="30"/>
      <c r="AK42" s="30"/>
      <c r="AM42" s="31"/>
    </row>
    <row r="43" spans="8:35" ht="15.75" customHeight="1">
      <c r="H43" s="31"/>
      <c r="AI43" s="30"/>
    </row>
    <row r="44" spans="8:35" ht="15.75" customHeight="1">
      <c r="H44" s="31"/>
      <c r="AI44" s="30"/>
    </row>
  </sheetData>
  <sheetProtection/>
  <mergeCells count="475">
    <mergeCell ref="AA41:AB41"/>
    <mergeCell ref="AC39:AD39"/>
    <mergeCell ref="I39:J39"/>
    <mergeCell ref="K39:L39"/>
    <mergeCell ref="M39:N39"/>
    <mergeCell ref="O39:P39"/>
    <mergeCell ref="AC41:AD41"/>
    <mergeCell ref="AC40:AD40"/>
    <mergeCell ref="I40:J40"/>
    <mergeCell ref="K40:L40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Y41:Z41"/>
    <mergeCell ref="AE40:AF40"/>
    <mergeCell ref="Q40:R40"/>
    <mergeCell ref="S40:T40"/>
    <mergeCell ref="U40:V40"/>
    <mergeCell ref="W40:X40"/>
    <mergeCell ref="Y40:Z40"/>
    <mergeCell ref="AE37:AF37"/>
    <mergeCell ref="Q37:R37"/>
    <mergeCell ref="S37:T37"/>
    <mergeCell ref="U37:V37"/>
    <mergeCell ref="W37:X37"/>
    <mergeCell ref="AA40:AB40"/>
    <mergeCell ref="AE39:AF39"/>
    <mergeCell ref="U39:V39"/>
    <mergeCell ref="W39:X39"/>
    <mergeCell ref="AC38:AD38"/>
    <mergeCell ref="M40:N40"/>
    <mergeCell ref="O40:P40"/>
    <mergeCell ref="Y39:Z39"/>
    <mergeCell ref="AA39:AB39"/>
    <mergeCell ref="AC37:AD37"/>
    <mergeCell ref="Y37:Z37"/>
    <mergeCell ref="AA37:AB37"/>
    <mergeCell ref="Q39:R39"/>
    <mergeCell ref="S39:T39"/>
    <mergeCell ref="I37:J37"/>
    <mergeCell ref="K37:L37"/>
    <mergeCell ref="M37:N37"/>
    <mergeCell ref="O37:P37"/>
    <mergeCell ref="I38:J38"/>
    <mergeCell ref="K38:L38"/>
    <mergeCell ref="M38:N38"/>
    <mergeCell ref="O38:P38"/>
    <mergeCell ref="AE38:AF38"/>
    <mergeCell ref="Q38:R38"/>
    <mergeCell ref="S38:T38"/>
    <mergeCell ref="U38:V38"/>
    <mergeCell ref="W38:X38"/>
    <mergeCell ref="Y38:Z38"/>
    <mergeCell ref="AA38:AB38"/>
    <mergeCell ref="M34:N34"/>
    <mergeCell ref="O34:P34"/>
    <mergeCell ref="I36:J36"/>
    <mergeCell ref="K36:L36"/>
    <mergeCell ref="M36:N36"/>
    <mergeCell ref="O36:P36"/>
    <mergeCell ref="Y35:Z35"/>
    <mergeCell ref="I35:J35"/>
    <mergeCell ref="K35:L35"/>
    <mergeCell ref="M35:N35"/>
    <mergeCell ref="O35:P35"/>
    <mergeCell ref="AC34:AD34"/>
    <mergeCell ref="AA35:AB35"/>
    <mergeCell ref="AC35:AD35"/>
    <mergeCell ref="I34:J34"/>
    <mergeCell ref="K34:L34"/>
    <mergeCell ref="AE34:AF34"/>
    <mergeCell ref="Q34:R34"/>
    <mergeCell ref="S34:T34"/>
    <mergeCell ref="U34:V34"/>
    <mergeCell ref="W34:X34"/>
    <mergeCell ref="Y34:Z34"/>
    <mergeCell ref="AA34:AB34"/>
    <mergeCell ref="AC36:AD36"/>
    <mergeCell ref="AE36:AF36"/>
    <mergeCell ref="Q36:R36"/>
    <mergeCell ref="S36:T36"/>
    <mergeCell ref="U36:V36"/>
    <mergeCell ref="W36:X36"/>
    <mergeCell ref="Y36:Z36"/>
    <mergeCell ref="AA36:AB36"/>
    <mergeCell ref="AE35:AF35"/>
    <mergeCell ref="Q35:R35"/>
    <mergeCell ref="S35:T35"/>
    <mergeCell ref="U35:V35"/>
    <mergeCell ref="W35:X35"/>
    <mergeCell ref="AI31:AJ31"/>
    <mergeCell ref="AE33:AF33"/>
    <mergeCell ref="Q33:R33"/>
    <mergeCell ref="S33:T33"/>
    <mergeCell ref="U33:V33"/>
    <mergeCell ref="W33:X33"/>
    <mergeCell ref="AE31:AF31"/>
    <mergeCell ref="AC33:AD33"/>
    <mergeCell ref="I33:J33"/>
    <mergeCell ref="K33:L33"/>
    <mergeCell ref="M33:N33"/>
    <mergeCell ref="O33:P33"/>
    <mergeCell ref="Y33:Z33"/>
    <mergeCell ref="AA33:AB33"/>
    <mergeCell ref="AA32:AB32"/>
    <mergeCell ref="AK31:AL31"/>
    <mergeCell ref="I32:J32"/>
    <mergeCell ref="K32:L32"/>
    <mergeCell ref="M32:N32"/>
    <mergeCell ref="O32:P32"/>
    <mergeCell ref="Q32:R32"/>
    <mergeCell ref="S32:T32"/>
    <mergeCell ref="U31:V31"/>
    <mergeCell ref="W31:X31"/>
    <mergeCell ref="Y32:Z32"/>
    <mergeCell ref="I31:J31"/>
    <mergeCell ref="K31:L31"/>
    <mergeCell ref="M31:N31"/>
    <mergeCell ref="O31:P31"/>
    <mergeCell ref="Q31:R31"/>
    <mergeCell ref="S31:T31"/>
    <mergeCell ref="AC32:AD32"/>
    <mergeCell ref="AE32:AF32"/>
    <mergeCell ref="AE29:AF29"/>
    <mergeCell ref="AC29:AD29"/>
    <mergeCell ref="U32:V32"/>
    <mergeCell ref="W32:X32"/>
    <mergeCell ref="U30:V30"/>
    <mergeCell ref="W30:X30"/>
    <mergeCell ref="AI30:AJ30"/>
    <mergeCell ref="Y31:Z31"/>
    <mergeCell ref="AA31:AB31"/>
    <mergeCell ref="AC31:AD31"/>
    <mergeCell ref="I30:J30"/>
    <mergeCell ref="K30:L30"/>
    <mergeCell ref="M30:N30"/>
    <mergeCell ref="O30:P30"/>
    <mergeCell ref="Q30:R30"/>
    <mergeCell ref="S30:T30"/>
    <mergeCell ref="AK30:AL30"/>
    <mergeCell ref="U29:V29"/>
    <mergeCell ref="W29:X29"/>
    <mergeCell ref="Y30:Z30"/>
    <mergeCell ref="AA30:AB30"/>
    <mergeCell ref="AC30:AD30"/>
    <mergeCell ref="AE30:AF30"/>
    <mergeCell ref="Y29:Z29"/>
    <mergeCell ref="AA29:AB29"/>
    <mergeCell ref="AK29:AL29"/>
    <mergeCell ref="U28:V28"/>
    <mergeCell ref="W28:X28"/>
    <mergeCell ref="AI28:AJ28"/>
    <mergeCell ref="I29:J29"/>
    <mergeCell ref="K29:L29"/>
    <mergeCell ref="M29:N29"/>
    <mergeCell ref="O29:P29"/>
    <mergeCell ref="Q29:R29"/>
    <mergeCell ref="S29:T29"/>
    <mergeCell ref="AI29:AJ29"/>
    <mergeCell ref="I28:J28"/>
    <mergeCell ref="K28:L28"/>
    <mergeCell ref="M28:N28"/>
    <mergeCell ref="O28:P28"/>
    <mergeCell ref="Q28:R28"/>
    <mergeCell ref="S28:T28"/>
    <mergeCell ref="AK28:AL28"/>
    <mergeCell ref="U27:V27"/>
    <mergeCell ref="W27:X27"/>
    <mergeCell ref="Y28:Z28"/>
    <mergeCell ref="AA28:AB28"/>
    <mergeCell ref="AC28:AD28"/>
    <mergeCell ref="AE28:AF28"/>
    <mergeCell ref="Y27:Z27"/>
    <mergeCell ref="AI27:AJ27"/>
    <mergeCell ref="AK27:AL27"/>
    <mergeCell ref="I27:J27"/>
    <mergeCell ref="K27:L27"/>
    <mergeCell ref="M27:N27"/>
    <mergeCell ref="O27:P27"/>
    <mergeCell ref="Q27:R27"/>
    <mergeCell ref="S27:T27"/>
    <mergeCell ref="U26:V26"/>
    <mergeCell ref="W26:X26"/>
    <mergeCell ref="AA27:AB27"/>
    <mergeCell ref="AC27:AD27"/>
    <mergeCell ref="AE25:AF25"/>
    <mergeCell ref="Y25:Z25"/>
    <mergeCell ref="AA25:AB25"/>
    <mergeCell ref="AC25:AD25"/>
    <mergeCell ref="AE27:AF27"/>
    <mergeCell ref="I26:J26"/>
    <mergeCell ref="K26:L26"/>
    <mergeCell ref="M26:N26"/>
    <mergeCell ref="O26:P26"/>
    <mergeCell ref="Q26:R26"/>
    <mergeCell ref="S26:T26"/>
    <mergeCell ref="AI26:AJ26"/>
    <mergeCell ref="AK26:AL26"/>
    <mergeCell ref="U25:V25"/>
    <mergeCell ref="W25:X25"/>
    <mergeCell ref="Y26:Z26"/>
    <mergeCell ref="AA26:AB26"/>
    <mergeCell ref="AC26:AD26"/>
    <mergeCell ref="AE26:AF26"/>
    <mergeCell ref="AI25:AJ25"/>
    <mergeCell ref="AK25:AL25"/>
    <mergeCell ref="I25:J25"/>
    <mergeCell ref="K25:L25"/>
    <mergeCell ref="M25:N25"/>
    <mergeCell ref="O25:P25"/>
    <mergeCell ref="Q25:R25"/>
    <mergeCell ref="S25:T25"/>
    <mergeCell ref="AK24:AL24"/>
    <mergeCell ref="U23:V23"/>
    <mergeCell ref="W23:X23"/>
    <mergeCell ref="Y24:Z24"/>
    <mergeCell ref="AA24:AB24"/>
    <mergeCell ref="AC24:AD24"/>
    <mergeCell ref="AE24:AF24"/>
    <mergeCell ref="Y23:Z23"/>
    <mergeCell ref="U24:V24"/>
    <mergeCell ref="W24:X24"/>
    <mergeCell ref="I23:J23"/>
    <mergeCell ref="K23:L23"/>
    <mergeCell ref="M23:N23"/>
    <mergeCell ref="O23:P23"/>
    <mergeCell ref="Q23:R23"/>
    <mergeCell ref="S23:T23"/>
    <mergeCell ref="I24:J24"/>
    <mergeCell ref="K24:L24"/>
    <mergeCell ref="M24:N24"/>
    <mergeCell ref="O24:P24"/>
    <mergeCell ref="Q24:R24"/>
    <mergeCell ref="S24:T24"/>
    <mergeCell ref="AI24:AJ24"/>
    <mergeCell ref="AA23:AB23"/>
    <mergeCell ref="AC23:AD23"/>
    <mergeCell ref="AI21:AJ21"/>
    <mergeCell ref="AK21:AL21"/>
    <mergeCell ref="I22:J22"/>
    <mergeCell ref="K22:L22"/>
    <mergeCell ref="M22:N22"/>
    <mergeCell ref="O22:P22"/>
    <mergeCell ref="Q22:R22"/>
    <mergeCell ref="S22:T22"/>
    <mergeCell ref="U22:V22"/>
    <mergeCell ref="W22:X22"/>
    <mergeCell ref="AI22:AJ22"/>
    <mergeCell ref="AK22:AL22"/>
    <mergeCell ref="U21:V21"/>
    <mergeCell ref="W21:X21"/>
    <mergeCell ref="Y22:Z22"/>
    <mergeCell ref="AA22:AB22"/>
    <mergeCell ref="AC22:AD22"/>
    <mergeCell ref="AE22:AF22"/>
    <mergeCell ref="AE23:AF23"/>
    <mergeCell ref="AI23:AJ23"/>
    <mergeCell ref="AK23:AL23"/>
    <mergeCell ref="AE20:AF20"/>
    <mergeCell ref="I21:J21"/>
    <mergeCell ref="K21:L21"/>
    <mergeCell ref="M21:N21"/>
    <mergeCell ref="O21:P21"/>
    <mergeCell ref="Q21:R21"/>
    <mergeCell ref="S21:T21"/>
    <mergeCell ref="Y21:Z21"/>
    <mergeCell ref="AA21:AB21"/>
    <mergeCell ref="AC21:AD21"/>
    <mergeCell ref="AE21:AF21"/>
    <mergeCell ref="AE19:AF19"/>
    <mergeCell ref="U20:V20"/>
    <mergeCell ref="W20:X20"/>
    <mergeCell ref="Q19:R19"/>
    <mergeCell ref="S19:T19"/>
    <mergeCell ref="U19:V19"/>
    <mergeCell ref="W19:X19"/>
    <mergeCell ref="AI19:AJ19"/>
    <mergeCell ref="AK19:AL19"/>
    <mergeCell ref="AK20:AL20"/>
    <mergeCell ref="I19:J19"/>
    <mergeCell ref="K19:L19"/>
    <mergeCell ref="M19:N19"/>
    <mergeCell ref="O19:P19"/>
    <mergeCell ref="Y20:Z20"/>
    <mergeCell ref="AA20:AB20"/>
    <mergeCell ref="AC20:AD20"/>
    <mergeCell ref="I20:J20"/>
    <mergeCell ref="K20:L20"/>
    <mergeCell ref="K18:L18"/>
    <mergeCell ref="M18:N18"/>
    <mergeCell ref="O18:P18"/>
    <mergeCell ref="Y19:Z19"/>
    <mergeCell ref="AA19:AB19"/>
    <mergeCell ref="AI20:AJ20"/>
    <mergeCell ref="M20:N20"/>
    <mergeCell ref="O20:P20"/>
    <mergeCell ref="Q20:R20"/>
    <mergeCell ref="S20:T20"/>
    <mergeCell ref="AC17:AD17"/>
    <mergeCell ref="I17:J17"/>
    <mergeCell ref="K17:L17"/>
    <mergeCell ref="M17:N17"/>
    <mergeCell ref="O17:P17"/>
    <mergeCell ref="AC19:AD19"/>
    <mergeCell ref="W18:X18"/>
    <mergeCell ref="Y18:Z18"/>
    <mergeCell ref="AA18:AB18"/>
    <mergeCell ref="I18:J18"/>
    <mergeCell ref="AE17:AF17"/>
    <mergeCell ref="Q17:R17"/>
    <mergeCell ref="S17:T17"/>
    <mergeCell ref="U17:V17"/>
    <mergeCell ref="W17:X17"/>
    <mergeCell ref="AC18:AD18"/>
    <mergeCell ref="AE18:AF18"/>
    <mergeCell ref="Q18:R18"/>
    <mergeCell ref="S18:T18"/>
    <mergeCell ref="U18:V18"/>
    <mergeCell ref="I16:J16"/>
    <mergeCell ref="K16:L16"/>
    <mergeCell ref="M16:N16"/>
    <mergeCell ref="O16:P16"/>
    <mergeCell ref="Y17:Z17"/>
    <mergeCell ref="AA17:AB17"/>
    <mergeCell ref="AC15:AD15"/>
    <mergeCell ref="I15:J15"/>
    <mergeCell ref="K15:L15"/>
    <mergeCell ref="M15:N15"/>
    <mergeCell ref="O15:P15"/>
    <mergeCell ref="AE15:AF15"/>
    <mergeCell ref="Q15:R15"/>
    <mergeCell ref="S15:T15"/>
    <mergeCell ref="U15:V15"/>
    <mergeCell ref="W15:X15"/>
    <mergeCell ref="AC16:AD16"/>
    <mergeCell ref="AE16:AF16"/>
    <mergeCell ref="Q16:R16"/>
    <mergeCell ref="S16:T16"/>
    <mergeCell ref="U16:V16"/>
    <mergeCell ref="W16:X16"/>
    <mergeCell ref="Y16:Z16"/>
    <mergeCell ref="AA16:AB16"/>
    <mergeCell ref="I14:J14"/>
    <mergeCell ref="K14:L14"/>
    <mergeCell ref="M14:N14"/>
    <mergeCell ref="O14:P14"/>
    <mergeCell ref="Y15:Z15"/>
    <mergeCell ref="AA15:AB15"/>
    <mergeCell ref="AC13:AD13"/>
    <mergeCell ref="I13:J13"/>
    <mergeCell ref="K13:L13"/>
    <mergeCell ref="M13:N13"/>
    <mergeCell ref="O13:P13"/>
    <mergeCell ref="Q13:R13"/>
    <mergeCell ref="S13:T13"/>
    <mergeCell ref="U13:V13"/>
    <mergeCell ref="W13:X13"/>
    <mergeCell ref="AC14:AD14"/>
    <mergeCell ref="AE14:AF14"/>
    <mergeCell ref="Q14:R14"/>
    <mergeCell ref="S14:T14"/>
    <mergeCell ref="U14:V14"/>
    <mergeCell ref="W14:X14"/>
    <mergeCell ref="Y14:Z14"/>
    <mergeCell ref="AA14:AB14"/>
    <mergeCell ref="Y12:Z12"/>
    <mergeCell ref="AA12:AB12"/>
    <mergeCell ref="U12:V12"/>
    <mergeCell ref="W12:X12"/>
    <mergeCell ref="Y13:Z13"/>
    <mergeCell ref="AA13:AB13"/>
    <mergeCell ref="S12:T12"/>
    <mergeCell ref="AE13:AF13"/>
    <mergeCell ref="AI10:AJ10"/>
    <mergeCell ref="AK10:AL10"/>
    <mergeCell ref="AC12:AD12"/>
    <mergeCell ref="AE12:AF12"/>
    <mergeCell ref="AI11:AJ11"/>
    <mergeCell ref="AK11:AL11"/>
    <mergeCell ref="AE10:AF10"/>
    <mergeCell ref="AE11:AF11"/>
    <mergeCell ref="Y11:Z11"/>
    <mergeCell ref="U10:V10"/>
    <mergeCell ref="W10:X10"/>
    <mergeCell ref="U11:V11"/>
    <mergeCell ref="W11:X11"/>
    <mergeCell ref="I12:J12"/>
    <mergeCell ref="K12:L12"/>
    <mergeCell ref="M12:N12"/>
    <mergeCell ref="O12:P12"/>
    <mergeCell ref="Q12:R12"/>
    <mergeCell ref="S10:T10"/>
    <mergeCell ref="Y10:Z10"/>
    <mergeCell ref="AA10:AB10"/>
    <mergeCell ref="AC10:AD10"/>
    <mergeCell ref="I11:J11"/>
    <mergeCell ref="K11:L11"/>
    <mergeCell ref="M11:N11"/>
    <mergeCell ref="O11:P11"/>
    <mergeCell ref="Q11:R11"/>
    <mergeCell ref="S11:T11"/>
    <mergeCell ref="AA6:AB6"/>
    <mergeCell ref="AI6:AJ6"/>
    <mergeCell ref="AE6:AF6"/>
    <mergeCell ref="AA11:AB11"/>
    <mergeCell ref="AC11:AD11"/>
    <mergeCell ref="I10:J10"/>
    <mergeCell ref="K10:L10"/>
    <mergeCell ref="M10:N10"/>
    <mergeCell ref="O10:P10"/>
    <mergeCell ref="Q10:R10"/>
    <mergeCell ref="AA9:AB9"/>
    <mergeCell ref="AC9:AD9"/>
    <mergeCell ref="AE9:AF9"/>
    <mergeCell ref="AI9:AJ9"/>
    <mergeCell ref="AK9:AL9"/>
    <mergeCell ref="AK6:AL6"/>
    <mergeCell ref="AI7:AJ7"/>
    <mergeCell ref="AK7:AL7"/>
    <mergeCell ref="AI8:AJ8"/>
    <mergeCell ref="AK8:AL8"/>
    <mergeCell ref="AI5:AJ5"/>
    <mergeCell ref="I6:J6"/>
    <mergeCell ref="K6:L6"/>
    <mergeCell ref="M6:N6"/>
    <mergeCell ref="O6:P6"/>
    <mergeCell ref="Q6:R6"/>
    <mergeCell ref="S6:T6"/>
    <mergeCell ref="AA5:AB5"/>
    <mergeCell ref="AC5:AD5"/>
    <mergeCell ref="AC6:AD6"/>
    <mergeCell ref="I9:J9"/>
    <mergeCell ref="K9:L9"/>
    <mergeCell ref="M9:N9"/>
    <mergeCell ref="O9:P9"/>
    <mergeCell ref="Q9:R9"/>
    <mergeCell ref="S9:T9"/>
    <mergeCell ref="U9:V9"/>
    <mergeCell ref="W9:X9"/>
    <mergeCell ref="U6:V6"/>
    <mergeCell ref="W6:X6"/>
    <mergeCell ref="Y6:Z6"/>
    <mergeCell ref="Y5:Z5"/>
    <mergeCell ref="W5:X5"/>
    <mergeCell ref="Y9:Z9"/>
    <mergeCell ref="AE4:AF4"/>
    <mergeCell ref="S1:W1"/>
    <mergeCell ref="S2:W2"/>
    <mergeCell ref="U4:V4"/>
    <mergeCell ref="W4:X4"/>
    <mergeCell ref="AE5:AF5"/>
    <mergeCell ref="AA4:AB4"/>
    <mergeCell ref="AC4:AD4"/>
    <mergeCell ref="AI4:AJ4"/>
    <mergeCell ref="AK4:AL4"/>
    <mergeCell ref="I5:J5"/>
    <mergeCell ref="K5:L5"/>
    <mergeCell ref="M5:N5"/>
    <mergeCell ref="O5:P5"/>
    <mergeCell ref="Q5:R5"/>
    <mergeCell ref="S5:T5"/>
    <mergeCell ref="U5:V5"/>
    <mergeCell ref="I4:J4"/>
    <mergeCell ref="K4:L4"/>
    <mergeCell ref="M4:N4"/>
    <mergeCell ref="O4:P4"/>
    <mergeCell ref="Q4:R4"/>
    <mergeCell ref="S4:T4"/>
    <mergeCell ref="Y4:Z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Norlic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CatharinaB</dc:creator>
  <cp:keywords/>
  <dc:description/>
  <cp:lastModifiedBy>Ritva Jaakkola</cp:lastModifiedBy>
  <cp:lastPrinted>2021-01-15T06:58:29Z</cp:lastPrinted>
  <dcterms:created xsi:type="dcterms:W3CDTF">2010-02-01T07:36:42Z</dcterms:created>
  <dcterms:modified xsi:type="dcterms:W3CDTF">2021-01-15T06:58:45Z</dcterms:modified>
  <cp:category/>
  <cp:version/>
  <cp:contentType/>
  <cp:contentStatus/>
</cp:coreProperties>
</file>